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8b622e4aa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8bdc3c679c9b4bbd"/>
    <x:sheet xmlns:r="http://schemas.openxmlformats.org/officeDocument/2006/relationships" name="Executive Summary" sheetId="2" r:id="R20b7aac5355e4a9b"/>
    <x:sheet xmlns:r="http://schemas.openxmlformats.org/officeDocument/2006/relationships" name="Inputs" sheetId="3" r:id="Re5612611123341fb"/>
    <x:sheet xmlns:r="http://schemas.openxmlformats.org/officeDocument/2006/relationships" name="Zone Schedule" sheetId="4" r:id="R941f938ba7cc47b8"/>
    <x:sheet xmlns:r="http://schemas.openxmlformats.org/officeDocument/2006/relationships" name="Quantity Takeoff" sheetId="5" r:id="R94db94624686474b"/>
    <x:sheet xmlns:r="http://schemas.openxmlformats.org/officeDocument/2006/relationships" name="Trade Summary" sheetId="6" r:id="R501d1b0a2f294c9a"/>
    <x:sheet xmlns:r="http://schemas.openxmlformats.org/officeDocument/2006/relationships" name="Drawing Index" sheetId="7" r:id="Ra63c8778543b4c05"/>
    <x:sheet xmlns:r="http://schemas.openxmlformats.org/officeDocument/2006/relationships" name="Scope &amp; Risks" sheetId="8" r:id="Ra22e7070225d4930"/>
    <x:sheet xmlns:r="http://schemas.openxmlformats.org/officeDocument/2006/relationships" name="QA Checks" sheetId="9" r:id="R70c80da1956045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-"/>
    <x:numFmt numFmtId="201" formatCode="0%"/>
    <x:numFmt numFmtId="202" formatCode="$#,##0.00"/>
  </x:numFmts>
  <x:fonts count="21">
    <x:font>
      <x:sz val="11"/>
      <x:name val="Carlito"/>
    </x:font>
    <x:font>
      <x:b/>
      <x:sz val="17"/>
      <x:color rgb="FFFFFFFF"/>
      <x:name val="Carlito"/>
    </x:font>
    <x:font>
      <x:sz val="10"/>
      <x:color rgb="FF62707E"/>
      <x:name val="Carlito"/>
    </x:font>
    <x:font>
      <x:b/>
      <x:sz val="10"/>
      <x:color rgb="FFFFFFFF"/>
      <x:name val="Carlito"/>
    </x:font>
    <x:font>
      <x:b/>
      <x:sz val="11"/>
      <x:name val="Carlito"/>
    </x:font>
    <x:font>
      <x:b/>
      <x:sz val="10"/>
      <x:color rgb="FF1E3B50"/>
      <x:name val="Carlito"/>
    </x:font>
    <x:font>
      <x:b/>
      <x:sz val="11"/>
      <x:color rgb="FF1E3B50"/>
      <x:name val="Carlito"/>
    </x:font>
    <x:font>
      <x:b/>
      <x:sz val="11"/>
      <x:color rgb="FF7B5230"/>
      <x:name val="Carlito"/>
    </x:font>
    <x:font>
      <x:sz val="11"/>
      <x:color rgb="FF1E3B50"/>
      <x:name val="Carlito"/>
    </x:font>
    <x:font>
      <x:sz val="11"/>
      <x:color rgb="FF62707E"/>
      <x:name val="Carlito"/>
    </x:font>
    <x:font>
      <x:b/>
      <x:sz val="12"/>
      <x:color rgb="FFFFFFFF"/>
      <x:name val="Carlito"/>
    </x:font>
    <x:font>
      <x:b/>
      <x:sz val="11"/>
      <x:color rgb="FF765B37"/>
      <x:name val="Carlito"/>
    </x:font>
    <x:font>
      <x:b/>
      <x:sz val="11"/>
      <x:color rgb="FF865636"/>
      <x:name val="Carlito"/>
    </x:font>
    <x:font>
      <x:b/>
      <x:sz val="17"/>
      <x:color rgb="FFF7F1E5"/>
      <x:name val="Arial"/>
    </x:font>
    <x:font>
      <x:sz val="10"/>
      <x:color rgb="FF7A3F2E"/>
      <x:name val="Arial"/>
    </x:font>
    <x:font>
      <x:b/>
      <x:sz val="10"/>
      <x:color rgb="FFF7F1E5"/>
      <x:name val="Arial"/>
    </x:font>
    <x:font>
      <x:b/>
      <x:sz val="11"/>
      <x:color rgb="FFF7F1E5"/>
      <x:name val="Arial"/>
    </x:font>
    <x:font>
      <x:b/>
      <x:sz val="11"/>
      <x:color rgb="FF7A3F2E"/>
      <x:name val="Arial"/>
    </x:font>
    <x:font>
      <x:sz val="11"/>
      <x:color rgb="FF7A3F2E"/>
      <x:name val="Arial"/>
    </x:font>
    <x:font>
      <x:b/>
      <x:sz val="12"/>
      <x:color rgb="FF7A3F2E"/>
      <x:name val="Arial"/>
    </x:font>
    <x:font>
      <x:b/>
      <x:sz val="10"/>
      <x:color rgb="FF7A3F2E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0283D"/>
      </x:patternFill>
    </x:fill>
    <x:fill>
      <x:patternFill patternType="solid">
        <x:fgColor rgb="FFEDF3F5"/>
      </x:patternFill>
    </x:fill>
    <x:fill>
      <x:patternFill patternType="solid">
        <x:fgColor rgb="FF1E3B50"/>
      </x:patternFill>
    </x:fill>
    <x:fill>
      <x:patternFill patternType="solid">
        <x:fgColor rgb="FFFFF4E5"/>
      </x:patternFill>
    </x:fill>
    <x:fill>
      <x:patternFill patternType="solid">
        <x:fgColor rgb="FFE9F4FA"/>
      </x:patternFill>
    </x:fill>
    <x:fill>
      <x:patternFill patternType="solid">
        <x:fgColor rgb="FF16372F"/>
      </x:patternFill>
    </x:fill>
    <x:fill>
      <x:patternFill patternType="solid">
        <x:fgColor rgb="FFF2E6D5"/>
      </x:patternFill>
    </x:fill>
  </x:fills>
  <x:borders count="2">
    <x:border/>
    <x:border/>
  </x:borders>
  <x:cellStyleXfs count="1">
    <x:xf numFmtId="0" fontId="0" fillId="0" borderId="0"/>
  </x:cellStyleXfs>
  <x:cellXfs count="9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5" fillId="4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200" fontId="0" fillId="6" borderId="0" xfId="0" applyNumberFormat="1" applyFont="1" applyFill="1" applyBorder="1"/>
    <x:xf numFmtId="200" fontId="0" fillId="0" borderId="0" xfId="0" applyNumberFormat="1" applyFont="1" applyFill="1" applyBorder="1"/>
    <x:xf numFmtId="200" fontId="6" fillId="3" borderId="0" xfId="0" applyNumberFormat="1" applyFont="1" applyFill="1" applyBorder="1"/>
    <x:xf numFmtId="200" fontId="0" fillId="6" borderId="1" xfId="0" applyNumberFormat="1" applyFont="1" applyFill="1" applyBorder="1"/>
    <x:xf numFmtId="200" fontId="0" fillId="0" borderId="1" xfId="0" applyNumberFormat="1" applyFont="1" applyFill="1" applyBorder="1"/>
    <x:xf numFmtId="200" fontId="6" fillId="3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0" fillId="2" borderId="0" xfId="0" applyNumberFormat="1" applyFont="1" applyFill="1" applyBorder="1"/>
    <x:xf numFmtId="0" fontId="10" fillId="2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10" fillId="2" borderId="0" xfId="0" applyNumberFormat="1" applyFont="1" applyFill="1" applyBorder="1"/>
    <x:xf numFmtId="202" fontId="10" fillId="2" borderId="1" xfId="0" applyNumberFormat="1" applyFont="1" applyFill="1" applyBorder="1"/>
    <x:xf numFmtId="0" fontId="11" fillId="5" borderId="0" xfId="0" applyNumberFormat="1" applyFont="1" applyFill="1" applyBorder="1"/>
    <x:xf numFmtId="0" fontId="11" fillId="5" borderId="0" xfId="0" applyNumberFormat="1" applyFont="1" applyFill="1" applyBorder="1" applyAlignment="1">
      <x:alignment wrapText="1"/>
    </x:xf>
    <x:xf numFmtId="0" fontId="11" fillId="5" borderId="1" xfId="0" applyNumberFormat="1" applyFont="1" applyFill="1" applyBorder="1"/>
    <x:xf numFmtId="0" fontId="11" fillId="5" borderId="1" xfId="0" applyNumberFormat="1" applyFont="1" applyFill="1" applyBorder="1" applyAlignment="1">
      <x:alignment wrapText="1"/>
    </x:xf>
    <x:xf numFmtId="0" fontId="12" fillId="5" borderId="0" xfId="0" applyNumberFormat="1" applyFont="1" applyFill="1" applyBorder="1"/>
    <x:xf numFmtId="0" fontId="12" fillId="5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vertical="center"/>
    </x:xf>
    <x:xf numFmtId="0" fontId="13" fillId="7" borderId="0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/>
    <x:xf numFmtId="0" fontId="14" fillId="8" borderId="0" xfId="0" applyNumberFormat="1" applyFont="1" applyFill="1" applyBorder="1"/>
    <x:xf numFmtId="0" fontId="14" fillId="8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15" fillId="7" borderId="0" xfId="0" applyNumberFormat="1" applyFont="1" applyFill="1" applyBorder="1" applyAlignment="1">
      <x:alignment vertical="center" wrapText="1"/>
    </x:xf>
    <x:xf numFmtId="0" fontId="16" fillId="7" borderId="0" xfId="0" applyNumberFormat="1" applyFont="1" applyFill="1" applyBorder="1" applyAlignment="1">
      <x:alignment wrapText="1"/>
    </x:xf>
    <x:xf numFmtId="0" fontId="16" fillId="7" borderId="0" xfId="0" applyNumberFormat="1" applyFont="1" applyFill="1" applyBorder="1"/>
    <x:xf numFmtId="0" fontId="6" fillId="8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17" fillId="8" borderId="0" xfId="0" applyNumberFormat="1" applyFont="1" applyFill="1" applyBorder="1"/>
    <x:xf numFmtId="0" fontId="18" fillId="8" borderId="0" xfId="0" applyNumberFormat="1" applyFont="1" applyFill="1" applyBorder="1" applyAlignment="1">
      <x:alignment wrapText="1"/>
    </x:xf>
    <x:xf numFmtId="0" fontId="18" fillId="8" borderId="0" xfId="0" applyNumberFormat="1" applyFont="1" applyFill="1" applyBorder="1"/>
    <x:xf numFmtId="0" fontId="1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/>
    <x:xf numFmtId="0" fontId="2" fillId="7" borderId="0" xfId="0" applyNumberFormat="1" applyFont="1" applyFill="1" applyBorder="1"/>
    <x:xf numFmtId="0" fontId="15" fillId="7" borderId="0" xfId="0" applyNumberFormat="1" applyFont="1" applyFill="1" applyBorder="1"/>
    <x:xf numFmtId="202" fontId="0" fillId="8" borderId="0" xfId="0" applyNumberFormat="1" applyFont="1" applyFill="1" applyBorder="1"/>
    <x:xf numFmtId="0" fontId="10" fillId="8" borderId="0" xfId="0" applyNumberFormat="1" applyFont="1" applyFill="1" applyBorder="1"/>
    <x:xf numFmtId="202" fontId="10" fillId="8" borderId="0" xfId="0" applyNumberFormat="1" applyFont="1" applyFill="1" applyBorder="1"/>
    <x:xf numFmtId="202" fontId="18" fillId="8" borderId="0" xfId="0" applyNumberFormat="1" applyFont="1" applyFill="1" applyBorder="1"/>
    <x:xf numFmtId="0" fontId="19" fillId="8" borderId="0" xfId="0" applyNumberFormat="1" applyFont="1" applyFill="1" applyBorder="1"/>
    <x:xf numFmtId="202" fontId="19" fillId="8" borderId="0" xfId="0" applyNumberFormat="1" applyFont="1" applyFill="1" applyBorder="1"/>
    <x:xf numFmtId="202" fontId="18" fillId="8" borderId="0" xfId="0" applyNumberFormat="1" applyFont="1" applyFill="1" applyBorder="1" applyAlignment="1">
      <x:alignment wrapText="1"/>
    </x:xf>
    <x:xf numFmtId="0" fontId="19" fillId="8" borderId="0" xfId="0" applyNumberFormat="1" applyFont="1" applyFill="1" applyBorder="1" applyAlignment="1">
      <x:alignment wrapText="1"/>
    </x:xf>
    <x:xf numFmtId="202" fontId="19" fillId="8" borderId="0" xfId="0" applyNumberFormat="1" applyFont="1" applyFill="1" applyBorder="1" applyAlignment="1">
      <x:alignment wrapText="1"/>
    </x:xf>
    <x:xf numFmtId="0" fontId="11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/>
    <x:xf numFmtId="0" fontId="9" fillId="8" borderId="0" xfId="0" applyNumberFormat="1" applyFont="1" applyFill="1" applyBorder="1"/>
    <x:xf numFmtId="200" fontId="0" fillId="8" borderId="0" xfId="0" applyNumberFormat="1" applyFont="1" applyFill="1" applyBorder="1"/>
    <x:xf numFmtId="200" fontId="18" fillId="8" borderId="0" xfId="0" applyNumberFormat="1" applyFont="1" applyFill="1" applyBorder="1"/>
    <x:xf numFmtId="200" fontId="18" fillId="8" borderId="0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vertical="center" wrapText="1"/>
    </x:xf>
    <x:xf numFmtId="0" fontId="20" fillId="8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5cc0c232f4137" /><Relationship Type="http://schemas.openxmlformats.org/officeDocument/2006/relationships/theme" Target="/xl/theme/theme1.xml" Id="R8ec978ea362842c7" /><Relationship Type="http://schemas.openxmlformats.org/officeDocument/2006/relationships/sharedStrings" Target="/xl/sharedStrings.xml" Id="R0923a28d9b864306" /><Relationship Type="http://schemas.openxmlformats.org/officeDocument/2006/relationships/worksheet" Target="/xl/worksheets/sheet1.xml" Id="R8bdc3c679c9b4bbd" /><Relationship Type="http://schemas.openxmlformats.org/officeDocument/2006/relationships/worksheet" Target="/xl/worksheets/sheet2.xml" Id="R20b7aac5355e4a9b" /><Relationship Type="http://schemas.openxmlformats.org/officeDocument/2006/relationships/worksheet" Target="/xl/worksheets/sheet3.xml" Id="Re5612611123341fb" /><Relationship Type="http://schemas.openxmlformats.org/officeDocument/2006/relationships/worksheet" Target="/xl/worksheets/sheet4.xml" Id="R941f938ba7cc47b8" /><Relationship Type="http://schemas.openxmlformats.org/officeDocument/2006/relationships/worksheet" Target="/xl/worksheets/sheet5.xml" Id="R94db94624686474b" /><Relationship Type="http://schemas.openxmlformats.org/officeDocument/2006/relationships/worksheet" Target="/xl/worksheets/sheet6.xml" Id="R501d1b0a2f294c9a" /><Relationship Type="http://schemas.openxmlformats.org/officeDocument/2006/relationships/worksheet" Target="/xl/worksheets/sheet7.xml" Id="Ra63c8778543b4c05" /><Relationship Type="http://schemas.openxmlformats.org/officeDocument/2006/relationships/worksheet" Target="/xl/worksheets/sheet8.xml" Id="Ra22e7070225d4930" /><Relationship Type="http://schemas.openxmlformats.org/officeDocument/2006/relationships/worksheet" Target="/xl/worksheets/sheet9.xml" Id="R70c80da1956045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7" hidden="0" customWidth="1"/>
    <x:col min="2" max="2" width="95" hidden="0" customWidth="1"/>
  </x:cols>
  <x:sheetData>
    <x:row r="1" ht="25" customHeight="1">
      <x:c r="A1" s="61" t="str">
        <x:v>TAKEOFF FOUNDRY | FLAGSHIP DEMO</x:v>
      </x:c>
      <x:c r="B1" s="61"/>
      <x:c r="C1" s="61"/>
      <x:c r="D1" s="61"/>
      <x:c r="E1" s="61"/>
      <x:c r="F1" s="61"/>
      <x:c r="G1" s="61"/>
      <x:c r="H1" s="61"/>
      <x:c r="I1" s="61"/>
      <x:c r="J1" s="61"/>
      <x:c r="K1" s="61"/>
      <x:c r="L1" s="61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4" customHeight="1">
      <x:c r="A3" s="64" t="str">
        <x:v>Riverton Commerce Center / Office TI / 9,600 SF / Rev D0 / Illustrative only</x:v>
      </x:c>
      <x:c r="B3" s="64"/>
      <x:c r="C3" s="64"/>
      <x:c r="D3" s="64"/>
      <x:c r="E3" s="64"/>
      <x:c r="F3" s="64"/>
      <x:c r="G3" s="64"/>
      <x:c r="H3" s="64"/>
      <x:c r="I3" s="64"/>
      <x:c r="J3" s="64"/>
      <x:c r="K3" s="64"/>
      <x:c r="L3" s="64"/>
    </x:row>
    <x:row r="5" ht="42" customHeight="1">
      <x:c r="A5" s="68" t="str">
        <x:v>DOCUMENT CONTROL</x:v>
      </x:c>
      <x:c r="B5" s="69" t="str">
        <x:v>TF-DEMO-2026-004 | 22 October 2026</x:v>
      </x:c>
      <x:c r="C5" s="70"/>
      <x:c r="D5" s="70"/>
      <x:c r="E5" s="70"/>
      <x:c r="F5" s="70"/>
      <x:c r="G5" s="70"/>
      <x:c r="H5" s="70"/>
      <x:c r="I5" s="70"/>
      <x:c r="J5" s="70"/>
      <x:c r="K5" s="70"/>
      <x:c r="L5" s="70"/>
    </x:row>
    <x:row r="6" ht="42" customHeight="1">
      <x:c r="A6" s="23" t="str">
        <x:v>PROJECT CLASS</x:v>
      </x:c>
      <x:c r="B6" s="26" t="str">
        <x:v>Single-story interior tenant improvement; fictional 120 x 80 ft envelope</x:v>
      </x:c>
    </x:row>
    <x:row r="7" ht="42" customHeight="1">
      <x:c r="A7" s="23" t="str">
        <x:v>DELIVERY</x:v>
      </x:c>
      <x:c r="B7" s="26" t="str">
        <x:v>Vector-marked PDF report + live-formula Excel takeoff + flat CSV line item export</x:v>
      </x:c>
    </x:row>
    <x:row r="8" ht="42" customHeight="1">
      <x:c r="A8" s="23" t="str">
        <x:v>LEVEL OF DETAIL</x:v>
      </x:c>
      <x:c r="B8" s="26" t="str">
        <x:v>96 measured, scheduled, or allowance line items across selected CSI divisions</x:v>
      </x:c>
    </x:row>
    <x:row r="9" ht="42" customHeight="1">
      <x:c r="A9" s="23" t="str">
        <x:v>DRAWING STATUS</x:v>
      </x:c>
      <x:c r="B9" s="26" t="str">
        <x:v>All plan sheets are internally generated diagrams, NOT issued architectural drawings</x:v>
      </x:c>
    </x:row>
    <x:row r="10" ht="42" customHeight="1">
      <x:c r="A10" s="23" t="str">
        <x:v>PRICING</x:v>
      </x:c>
      <x:c r="B10" s="26" t="str">
        <x:v>USD fictional demonstration rate inputs; not local market quotes or bid-ready rates</x:v>
      </x:c>
    </x:row>
    <x:row r="11" ht="42" customHeight="1">
      <x:c r="A11" s="23" t="str">
        <x:v>VALIDATION</x:v>
      </x:c>
      <x:c r="B11" s="26" t="str">
        <x:v>Refer to QA Checks tab for calculated cross-checks and Scope &amp; Risks for limitations</x:v>
      </x:c>
    </x:row>
    <x:row r="12" ht="42" customHeight="1">
      <x:c r="A12" s="23" t="str">
        <x:v>EDIT HERE</x:v>
      </x:c>
      <x:c r="B12" s="26" t="str">
        <x:v>Inputs!B6:B45 for project geometry and quantities; Quantity Takeoff!J, L:N, S for allowances, rates and hours</x:v>
      </x:c>
    </x:row>
    <x:row r="13" ht="42" customHeight="1">
      <x:c r="A13" s="23" t="str">
        <x:v>MODEL RE-CALC</x:v>
      </x:c>
      <x:c r="B13" s="26" t="str">
        <x:v>Changing zone widths/depths or referenced quantities recalculates affected line items when Excel recalculates</x:v>
      </x:c>
    </x:row>
    <x:row r="14" ht="42" customHeight="1">
      <x:c r="A14" s="23" t="str">
        <x:v>NOT INCLUDED</x:v>
      </x:c>
      <x:c r="B14" s="26" t="str">
        <x:v>Full MEP engineering, structural works, AHJ/code review, vendor quotes, schedule or final bid</x:v>
      </x:c>
    </x:row>
    <x:row r="15" ht="42" customHeight="1">
      <x:c r="A15" s="77" t="str">
        <x:v>IMPORTANT</x:v>
      </x:c>
      <x:c r="B15" s="75" t="str">
        <x:v>Some project inputs are provisional quantities; zone graphics are illustrative concept schematics</x:v>
      </x:c>
      <x:c r="C15" s="75"/>
      <x:c r="D15" s="75"/>
      <x:c r="E15" s="75"/>
      <x:c r="F15" s="75"/>
      <x:c r="G15" s="75"/>
      <x:c r="H15" s="75"/>
      <x:c r="I15" s="75"/>
      <x:c r="J15" s="75"/>
      <x:c r="K15" s="75"/>
      <x:c r="L15" s="75"/>
    </x:row>
    <x:row r="17" ht="30" customHeight="1">
      <x:c r="A17" s="77" t="str">
        <x:v>USAGE NOTE</x:v>
      </x:c>
      <x:c r="B17" s="77" t="str">
        <x:v>Keep this disclaimer visible when sharing samples with prospective clients.</x:v>
      </x:c>
      <x:c r="C17" s="75"/>
      <x:c r="D17" s="75"/>
      <x:c r="E17" s="75"/>
      <x:c r="F17" s="75"/>
      <x:c r="G17" s="75"/>
      <x:c r="H17" s="75"/>
      <x:c r="I17" s="75"/>
      <x:c r="J17" s="75"/>
      <x:c r="K17" s="75"/>
      <x:c r="L17" s="75"/>
    </x:row>
  </x:sheetData>
  <x:mergeCells>
    <x:mergeCell ref="A1:L2"/>
    <x:mergeCell ref="A3:L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3" hidden="0" customWidth="1"/>
    <x:col min="3" max="3" width="4" hidden="0" customWidth="1"/>
    <x:col min="4" max="4" width="30" hidden="0" customWidth="1"/>
    <x:col min="5" max="5" width="15" hidden="0" customWidth="1"/>
    <x:col min="6" max="6" width="22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</x:cols>
  <x:sheetData>
    <x:row r="1" ht="25" customHeight="1">
      <x:c r="A1" s="4" t="str">
        <x:v>EXECUTIVE ESTIMATE DASHBOARD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4" customHeight="1">
      <x:c r="A3" s="80" t="str">
        <x:v>TF-DEMO-2026-004 · Concept-level · Fictional US dollar rates · NOT a quotation</x:v>
      </x:c>
      <x:c r="B3" s="80"/>
      <x:c r="C3" s="80"/>
      <x:c r="D3" s="80"/>
      <x:c r="E3" s="80"/>
      <x:c r="F3" s="80"/>
      <x:c r="G3" s="80"/>
      <x:c r="H3" s="80"/>
      <x:c r="I3" s="80"/>
      <x:c r="J3" s="80"/>
    </x:row>
    <x:row r="5" ht="29" customHeight="1">
      <x:c r="A5" s="15" t="str">
        <x:v>PROJECT METRIC</x:v>
      </x:c>
      <x:c r="B5" s="15" t="str">
        <x:v>FORMULA / RESULT</x:v>
      </x:c>
      <x:c r="D5" s="15" t="str">
        <x:v>ADD-ON</x:v>
      </x:c>
      <x:c r="E5" s="15" t="str">
        <x:v>RATE</x:v>
      </x:c>
      <x:c r="F5" s="15" t="str">
        <x:v>AMOUNT (USD)</x:v>
      </x:c>
    </x:row>
    <x:row r="6">
      <x:c r="A6" t="str">
        <x:v>Gross floor area (SF)</x:v>
      </x:c>
      <x:c r="B6" t="n">
        <x:f>'Zone Schedule'!E15</x:f>
        <x:v>9600</x:v>
      </x:c>
      <x:c r="D6" t="str">
        <x:v>Project coordination</x:v>
      </x:c>
      <x:c r="E6" s="46" t="n">
        <x:f>Inputs!B24/100</x:f>
        <x:v>0.08</x:v>
      </x:c>
      <x:c r="F6" s="50" t="n">
        <x:f>$B$15*E6</x:f>
        <x:v>43645.387520000004</x:v>
      </x:c>
    </x:row>
    <x:row r="7">
      <x:c r="A7" t="str">
        <x:v>Registered line items</x:v>
      </x:c>
      <x:c r="B7" t="n">
        <x:f>COUNTA('Quantity Takeoff'!A6:A101)</x:f>
        <x:v>96</x:v>
      </x:c>
      <x:c r="D7" t="str">
        <x:v>Contingency</x:v>
      </x:c>
      <x:c r="E7" s="46" t="n">
        <x:f>Inputs!B25/100</x:f>
        <x:v>0.05</x:v>
      </x:c>
      <x:c r="F7" s="50" t="n">
        <x:f>$B$15*E7</x:f>
        <x:v>27278.367200000004</x:v>
      </x:c>
    </x:row>
    <x:row r="8">
      <x:c r="A8" t="str">
        <x:v>Interior partition LF</x:v>
      </x:c>
      <x:c r="B8" t="n">
        <x:f>Inputs!B6</x:f>
        <x:v>444</x:v>
      </x:c>
      <x:c r="D8" t="str">
        <x:v>Overhead</x:v>
      </x:c>
      <x:c r="E8" s="46" t="n">
        <x:f>Inputs!B26/100</x:f>
        <x:v>0.08</x:v>
      </x:c>
      <x:c r="F8" s="50" t="n">
        <x:f>$B$15*E8</x:f>
        <x:v>43645.387520000004</x:v>
      </x:c>
    </x:row>
    <x:row r="9">
      <x:c r="A9" t="str">
        <x:v>Acoustic tile ceiling SF</x:v>
      </x:c>
      <x:c r="B9" t="n">
        <x:f>'Zone Schedule'!E15-'Zone Schedule'!E12-'Zone Schedule'!E13</x:f>
        <x:v>7968</x:v>
      </x:c>
      <x:c r="D9" t="str">
        <x:v>Profit markup</x:v>
      </x:c>
      <x:c r="E9" s="46" t="n">
        <x:f>Inputs!B27/100</x:f>
        <x:v>0.08</x:v>
      </x:c>
      <x:c r="F9" s="50" t="n">
        <x:f>$B$15*E9</x:f>
        <x:v>43645.387520000004</x:v>
      </x:c>
    </x:row>
    <x:row r="10">
      <x:c r="A10" t="str">
        <x:v>Electrical fixtures (EA)</x:v>
      </x:c>
      <x:c r="B10" t="n">
        <x:f>'Zone Schedule'!K15</x:f>
        <x:v>56</x:v>
      </x:c>
      <x:c r="F10" s="50"/>
    </x:row>
    <x:row r="11">
      <x:c r="A11" t="str">
        <x:v>Data outlet count (EA)</x:v>
      </x:c>
      <x:c r="B11" t="n">
        <x:f>'Zone Schedule'!M15</x:f>
        <x:v>42</x:v>
      </x:c>
      <x:c r="D11" t="str">
        <x:v>Add-on total</x:v>
      </x:c>
      <x:c r="F11" s="50" t="n">
        <x:f>SUM(F6:F9)</x:f>
        <x:v>158214.52976</x:v>
      </x:c>
    </x:row>
    <x:row r="12">
      <x:c r="A12" t="str">
        <x:v>Direct Material Cost</x:v>
      </x:c>
      <x:c r="B12" s="50" t="n">
        <x:f>'Trade Summary'!D17</x:f>
        <x:v>243289.06299999997</x:v>
      </x:c>
      <x:c r="F12" s="50"/>
    </x:row>
    <x:row r="13" ht="36" customHeight="1">
      <x:c r="A13" s="75" t="str">
        <x:v>Direct Labor Cost</x:v>
      </x:c>
      <x:c r="B13" s="87" t="n">
        <x:f>'Trade Summary'!E17</x:f>
        <x:v>283149.58600000007</x:v>
      </x:c>
      <x:c r="C13" s="75"/>
      <x:c r="D13" s="88" t="str">
        <x:v>ILLUSTRATIVE TOTAL</x:v>
      </x:c>
      <x:c r="E13" s="88"/>
      <x:c r="F13" s="89" t="n">
        <x:f>B15+F11</x:f>
        <x:v>703781.8737600001</x:v>
      </x:c>
      <x:c r="G13" s="75"/>
      <x:c r="H13" s="75"/>
      <x:c r="I13" s="75"/>
      <x:c r="J13" s="75"/>
    </x:row>
    <x:row r="14" ht="36" customHeight="1">
      <x:c r="A14" t="str">
        <x:v>Direct Equipment Cost</x:v>
      </x:c>
      <x:c r="B14" s="50" t="n">
        <x:f>'Trade Summary'!F17</x:f>
        <x:v>19128.695</x:v>
      </x:c>
      <x:c r="D14" s="48" t="str">
        <x:v>Demo USD / SF</x:v>
      </x:c>
      <x:c r="E14" s="48"/>
      <x:c r="F14" s="52" t="n">
        <x:f>F13/B6</x:f>
        <x:v>73.31061185000002</x:v>
      </x:c>
    </x:row>
    <x:row r="15">
      <x:c r="A15" t="str">
        <x:v>Total Direct Cost</x:v>
      </x:c>
      <x:c r="B15" s="50" t="n">
        <x:f>'Trade Summary'!G17</x:f>
        <x:v>545567.344</x:v>
      </x:c>
    </x:row>
    <x:row r="18" ht="42" customHeight="1">
      <x:c r="A18" s="77" t="str">
        <x:v>IMPORTANT | Fictional rates and selected scope; NOT based on quoted local suppliers, approved construction drawings, permits or market surveys.</x:v>
      </x:c>
      <x:c r="B18" s="77"/>
      <x:c r="C18" s="77"/>
      <x:c r="D18" s="77"/>
      <x:c r="E18" s="77"/>
      <x:c r="F18" s="77"/>
      <x:c r="G18" s="77"/>
      <x:c r="H18" s="77"/>
      <x:c r="I18" s="77"/>
      <x:c r="J18" s="77"/>
    </x:row>
    <x:row r="20">
      <x:c r="A20" t="str">
        <x:v>See Trade Summary, Quantity Takeoff, drawing references and Scope &amp; Risks for traceability.</x:v>
      </x:c>
    </x:row>
  </x:sheetData>
  <x:mergeCells>
    <x:mergeCell ref="A1:J2"/>
    <x:mergeCell ref="A3:J3"/>
    <x:mergeCell ref="A18:J18"/>
    <x:mergeCell ref="A20:J2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43" hidden="0" customWidth="1"/>
    <x:col min="2" max="2" width="25" hidden="0" customWidth="1"/>
    <x:col min="3" max="3" width="13" hidden="0" customWidth="1"/>
    <x:col min="4" max="4" width="70" hidden="0" customWidth="1"/>
  </x:cols>
  <x:sheetData>
    <x:row r="1" ht="25" customHeight="1">
      <x:c r="A1" s="4" t="str">
        <x:v>MODEL ASSUMPTIONS &amp; QUANTITY DRIVERS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4" customHeight="1">
      <x:c r="A3" s="64" t="str">
        <x:v>Blue-filled values are illustrative, editable assumptions; USD inputs are not live market rates</x:v>
      </x:c>
      <x:c r="B3" s="64"/>
      <x:c r="C3" s="64"/>
      <x:c r="D3" s="64"/>
      <x:c r="E3" s="64"/>
      <x:c r="F3" s="64"/>
      <x:c r="G3" s="64"/>
      <x:c r="H3" s="64"/>
      <x:c r="I3" s="64"/>
      <x:c r="J3" s="64"/>
      <x:c r="K3" s="64"/>
      <x:c r="L3" s="64"/>
    </x:row>
    <x:row r="5" ht="29" customHeight="1">
      <x:c r="A5" s="15" t="str">
        <x:v>PARAMETER</x:v>
      </x:c>
      <x:c r="B5" s="15" t="str">
        <x:v>VALUE</x:v>
      </x:c>
      <x:c r="C5" s="15" t="str">
        <x:v>UNIT</x:v>
      </x:c>
      <x:c r="D5" s="15" t="str">
        <x:v>BASIS / STATUS</x:v>
      </x:c>
    </x:row>
    <x:row r="6" ht="22" customHeight="1">
      <x:c r="A6" s="34" t="str">
        <x:v>Internal partition gross run (LF)</x:v>
      </x:c>
      <x:c r="B6" s="32" t="n">
        <x:v>444</x:v>
      </x:c>
      <x:c r="C6" t="str">
        <x:v>LF</x:v>
      </x:c>
      <x:c r="D6" s="36" t="str">
        <x:v>204 LF room dividers + 240 LF corridor edges</x:v>
      </x:c>
    </x:row>
    <x:row r="7" ht="22" customHeight="1">
      <x:c r="A7" s="34" t="str">
        <x:v>Partition / perimeter wall height (FT)</x:v>
      </x:c>
      <x:c r="B7" s="32" t="n">
        <x:v>10</x:v>
      </x:c>
      <x:c r="C7" t="str">
        <x:v>FT</x:v>
      </x:c>
      <x:c r="D7" s="36" t="str">
        <x:v>Concept height assumption</x:v>
      </x:c>
    </x:row>
    <x:row r="8" ht="22" customHeight="1">
      <x:c r="A8" s="34" t="str">
        <x:v>Interior door count</x:v>
      </x:c>
      <x:c r="B8" s="32" t="n">
        <x:v>8</x:v>
      </x:c>
      <x:c r="C8" t="str">
        <x:v>EA</x:v>
      </x:c>
      <x:c r="D8" s="36" t="str">
        <x:v>One corridor door per non-corridor zone</x:v>
      </x:c>
    </x:row>
    <x:row r="9" ht="22" customHeight="1">
      <x:c r="A9" s="34" t="str">
        <x:v>Interior door width (FT)</x:v>
      </x:c>
      <x:c r="B9" s="32" t="n">
        <x:v>3</x:v>
      </x:c>
      <x:c r="C9" t="str">
        <x:v>FT</x:v>
      </x:c>
      <x:c r="D9" s="36" t="str">
        <x:v>Net drywall deduction</x:v>
      </x:c>
    </x:row>
    <x:row r="10" ht="22" customHeight="1">
      <x:c r="A10" s="34" t="str">
        <x:v>Interior door height (FT)</x:v>
      </x:c>
      <x:c r="B10" s="32" t="n">
        <x:v>7</x:v>
      </x:c>
      <x:c r="C10" t="str">
        <x:v>FT</x:v>
      </x:c>
      <x:c r="D10" s="36" t="str">
        <x:v>Net drywall deduction</x:v>
      </x:c>
    </x:row>
    <x:row r="11" ht="22" customHeight="1">
      <x:c r="A11" s="34" t="str">
        <x:v>External perimeter length (LF)</x:v>
      </x:c>
      <x:c r="B11" s="32" t="n">
        <x:v>400</x:v>
      </x:c>
      <x:c r="C11" t="str">
        <x:v>LF</x:v>
      </x:c>
      <x:c r="D11" s="36" t="str">
        <x:v>2 x (120 + 80)</x:v>
      </x:c>
    </x:row>
    <x:row r="12" ht="22" customHeight="1">
      <x:c r="A12" s="34" t="str">
        <x:v>Glazed storefront opening area (SF)</x:v>
      </x:c>
      <x:c r="B12" s="32" t="n">
        <x:v>150</x:v>
      </x:c>
      <x:c r="C12" t="str">
        <x:v>SF</x:v>
      </x:c>
      <x:c r="D12" s="36" t="str">
        <x:v>Concept budget allowance; verify</x:v>
      </x:c>
    </x:row>
    <x:row r="13" ht="22" customHeight="1">
      <x:c r="A13" s="34" t="str">
        <x:v>Total plan width (FT)</x:v>
      </x:c>
      <x:c r="B13" s="32" t="n">
        <x:v>120</x:v>
      </x:c>
      <x:c r="C13" t="str">
        <x:v>FT</x:v>
      </x:c>
      <x:c r="D13" s="36" t="str">
        <x:v>Drawings A-101 / A-102</x:v>
      </x:c>
    </x:row>
    <x:row r="14" ht="22" customHeight="1">
      <x:c r="A14" s="34" t="str">
        <x:v>Total plan depth (FT)</x:v>
      </x:c>
      <x:c r="B14" s="32" t="n">
        <x:v>80</x:v>
      </x:c>
      <x:c r="C14" t="str">
        <x:v>FT</x:v>
      </x:c>
      <x:c r="D14" s="36" t="str">
        <x:v>Drawings A-101 / A-102</x:v>
      </x:c>
    </x:row>
    <x:row r="15" ht="22" customHeight="1">
      <x:c r="A15" s="34" t="str">
        <x:v>Floor area (SF)</x:v>
      </x:c>
      <x:c r="B15" s="32" t="n">
        <x:v>9600</x:v>
      </x:c>
      <x:c r="C15" t="str">
        <x:v>SF</x:v>
      </x:c>
      <x:c r="D15" s="36" t="str">
        <x:v>120 x 80</x:v>
      </x:c>
    </x:row>
    <x:row r="16" ht="22" customHeight="1">
      <x:c r="A16" s="34" t="str">
        <x:v>North office strip depth (FT)</x:v>
      </x:c>
      <x:c r="B16" s="32" t="n">
        <x:v>34</x:v>
      </x:c>
      <x:c r="C16" t="str">
        <x:v>FT</x:v>
      </x:c>
      <x:c r="D16" s="36" t="str">
        <x:v>For plan geometry</x:v>
      </x:c>
    </x:row>
    <x:row r="17" ht="22" customHeight="1">
      <x:c r="A17" s="34" t="str">
        <x:v>Corridor depth (FT)</x:v>
      </x:c>
      <x:c r="B17" s="32" t="n">
        <x:v>12</x:v>
      </x:c>
      <x:c r="C17" t="str">
        <x:v>FT</x:v>
      </x:c>
      <x:c r="D17" s="36" t="str">
        <x:v>For plan geometry</x:v>
      </x:c>
    </x:row>
    <x:row r="18" ht="22" customHeight="1">
      <x:c r="A18" s="34" t="str">
        <x:v>South office strip depth (FT)</x:v>
      </x:c>
      <x:c r="B18" s="32" t="n">
        <x:v>34</x:v>
      </x:c>
      <x:c r="C18" t="str">
        <x:v>FT</x:v>
      </x:c>
      <x:c r="D18" s="36" t="str">
        <x:v>For plan geometry</x:v>
      </x:c>
    </x:row>
    <x:row r="19" ht="22" customHeight="1">
      <x:c r="A19" s="34" t="str">
        <x:v>Drywall material waste (%)</x:v>
      </x:c>
      <x:c r="B19" s="32" t="n">
        <x:v>10</x:v>
      </x:c>
      <x:c r="C19" t="str">
        <x:v>%</x:v>
      </x:c>
      <x:c r="D19" s="36" t="str">
        <x:v>On related line items</x:v>
      </x:c>
    </x:row>
    <x:row r="20" ht="22" customHeight="1">
      <x:c r="A20" s="34" t="str">
        <x:v>ACT waste (%)</x:v>
      </x:c>
      <x:c r="B20" s="32" t="n">
        <x:v>5</x:v>
      </x:c>
      <x:c r="C20" t="str">
        <x:v>%</x:v>
      </x:c>
      <x:c r="D20" s="36" t="str">
        <x:v>On panel purchase quantities</x:v>
      </x:c>
    </x:row>
    <x:row r="21" ht="22" customHeight="1">
      <x:c r="A21" s="34" t="str">
        <x:v>LVT waste (%)</x:v>
      </x:c>
      <x:c r="B21" s="32" t="n">
        <x:v>7</x:v>
      </x:c>
      <x:c r="C21" t="str">
        <x:v>%</x:v>
      </x:c>
      <x:c r="D21" s="36" t="str">
        <x:v>On zone finish line items</x:v>
      </x:c>
    </x:row>
    <x:row r="22" ht="22" customHeight="1">
      <x:c r="A22" s="34" t="str">
        <x:v>Carpet tile waste (%)</x:v>
      </x:c>
      <x:c r="B22" s="32" t="n">
        <x:v>8</x:v>
      </x:c>
      <x:c r="C22" t="str">
        <x:v>%</x:v>
      </x:c>
      <x:c r="D22" s="36" t="str">
        <x:v>On zone finish line items</x:v>
      </x:c>
    </x:row>
    <x:row r="23" ht="22" customHeight="1">
      <x:c r="A23" s="34" t="str">
        <x:v>Tile waste (%)</x:v>
      </x:c>
      <x:c r="B23" s="32" t="n">
        <x:v>12</x:v>
      </x:c>
      <x:c r="C23" t="str">
        <x:v>%</x:v>
      </x:c>
      <x:c r="D23" s="36" t="str">
        <x:v>On zone finish line items</x:v>
      </x:c>
    </x:row>
    <x:row r="24" ht="22" customHeight="1">
      <x:c r="A24" s="34" t="str">
        <x:v>Project management top-up (%)</x:v>
      </x:c>
      <x:c r="B24" s="32" t="n">
        <x:v>8</x:v>
      </x:c>
      <x:c r="C24" t="str">
        <x:v>%</x:v>
      </x:c>
      <x:c r="D24" s="36" t="str">
        <x:v>Applied to total direct; distinct from costed mobilization</x:v>
      </x:c>
    </x:row>
    <x:row r="25" ht="22" customHeight="1">
      <x:c r="A25" s="34" t="str">
        <x:v>Contingency (%)</x:v>
      </x:c>
      <x:c r="B25" s="32" t="n">
        <x:v>5</x:v>
      </x:c>
      <x:c r="C25" t="str">
        <x:v>%</x:v>
      </x:c>
      <x:c r="D25" s="36" t="str">
        <x:v>Fictional planning input</x:v>
      </x:c>
    </x:row>
    <x:row r="26" ht="22" customHeight="1">
      <x:c r="A26" s="34" t="str">
        <x:v>Office overhead (%)</x:v>
      </x:c>
      <x:c r="B26" s="32" t="n">
        <x:v>8</x:v>
      </x:c>
      <x:c r="C26" t="str">
        <x:v>%</x:v>
      </x:c>
      <x:c r="D26" s="36" t="str">
        <x:v>Simple direct-cost markup</x:v>
      </x:c>
    </x:row>
    <x:row r="27" ht="22" customHeight="1">
      <x:c r="A27" s="75" t="str">
        <x:v>Illustrative profit markup (%)</x:v>
      </x:c>
      <x:c r="B27" s="75" t="n">
        <x:v>8</x:v>
      </x:c>
      <x:c r="C27" s="75" t="str">
        <x:v>%</x:v>
      </x:c>
      <x:c r="D27" s="75" t="str">
        <x:v>Simple direct-cost markup, not margin</x:v>
      </x:c>
      <x:c r="E27" s="75"/>
      <x:c r="F27" s="75"/>
      <x:c r="G27" s="75"/>
      <x:c r="H27" s="75"/>
      <x:c r="I27" s="75"/>
      <x:c r="J27" s="75"/>
      <x:c r="K27" s="75"/>
      <x:c r="L27" s="75"/>
    </x:row>
    <x:row r="28" ht="22" customHeight="1">
      <x:c r="A28" s="34" t="str">
        <x:v>Markup method</x:v>
      </x:c>
      <x:c r="B28" s="32" t="str">
        <x:v>Additive</x:v>
      </x:c>
      <x:c r="C28" t="str"/>
      <x:c r="D28" s="36" t="str">
        <x:v>Direct x (1 + sum of all four percentages)</x:v>
      </x:c>
    </x:row>
    <x:row r="29" ht="22" customHeight="1">
      <x:c r="A29" s="34" t="str">
        <x:v>Currency</x:v>
      </x:c>
      <x:c r="B29" s="32" t="str">
        <x:v>USD</x:v>
      </x:c>
      <x:c r="C29" t="str"/>
      <x:c r="D29" s="36" t="str">
        <x:v>No conversion or localized rates</x:v>
      </x:c>
    </x:row>
    <x:row r="30" ht="22" customHeight="1">
      <x:c r="A30" s="34" t="str">
        <x:v>Pricing basis</x:v>
      </x:c>
      <x:c r="B30" s="32" t="str">
        <x:v>Demonstration</x:v>
      </x:c>
      <x:c r="C30" t="str"/>
      <x:c r="D30" s="36" t="str">
        <x:v>No vendor quotes / actual project specifications</x:v>
      </x:c>
    </x:row>
    <x:row r="31" ht="22" customHeight="1">
      <x:c r="A31" s="34" t="str">
        <x:v>Reference drawing A-101</x:v>
      </x:c>
      <x:c r="B31" s="32" t="str">
        <x:v>Concept</x:v>
      </x:c>
      <x:c r="C31" t="str"/>
      <x:c r="D31" s="36" t="str">
        <x:v>Not architectural permit drawings</x:v>
      </x:c>
    </x:row>
    <x:row r="32" ht="22" customHeight="1">
      <x:c r="A32" s="34" t="str">
        <x:v>Reference drawing A-102</x:v>
      </x:c>
      <x:c r="B32" s="32" t="str">
        <x:v>Concept</x:v>
      </x:c>
      <x:c r="C32" t="str"/>
      <x:c r="D32" s="36" t="str">
        <x:v>Ceiling plan conceptual</x:v>
      </x:c>
    </x:row>
    <x:row r="33" ht="22" customHeight="1">
      <x:c r="A33" s="34" t="str">
        <x:v>Reference drawing A-201</x:v>
      </x:c>
      <x:c r="B33" s="32" t="str">
        <x:v>Concept</x:v>
      </x:c>
      <x:c r="C33" t="str"/>
      <x:c r="D33" s="36" t="str">
        <x:v>Partitions and openings conceptual</x:v>
      </x:c>
    </x:row>
    <x:row r="34" ht="22" customHeight="1">
      <x:c r="A34" s="34" t="str">
        <x:v>Reference drawing E-101</x:v>
      </x:c>
      <x:c r="B34" s="32" t="str">
        <x:v>Concept</x:v>
      </x:c>
      <x:c r="C34" t="str"/>
      <x:c r="D34" s="36" t="str">
        <x:v>Device counts scheduled</x:v>
      </x:c>
    </x:row>
    <x:row r="35" ht="22" customHeight="1">
      <x:c r="A35" s="34" t="str">
        <x:v>Reference drawing G-001</x:v>
      </x:c>
      <x:c r="B35" s="32" t="str">
        <x:v>Concept</x:v>
      </x:c>
      <x:c r="C35" t="str"/>
      <x:c r="D35" s="36" t="str">
        <x:v>Method, scope and notes</x:v>
      </x:c>
    </x:row>
    <x:row r="36" ht="22" customHeight="1">
      <x:c r="A36" s="34" t="str">
        <x:v>Walk-through date</x:v>
      </x:c>
      <x:c r="B36" s="32" t="str">
        <x:v>Not performed</x:v>
      </x:c>
      <x:c r="C36" t="str"/>
      <x:c r="D36" s="36" t="str">
        <x:v>No field verification claimed</x:v>
      </x:c>
    </x:row>
    <x:row r="37" ht="22" customHeight="1">
      <x:c r="A37" s="34" t="str">
        <x:v>Schedule impact</x:v>
      </x:c>
      <x:c r="B37" s="32" t="str">
        <x:v>Not assessed</x:v>
      </x:c>
      <x:c r="C37" t="str"/>
      <x:c r="D37" s="36" t="str">
        <x:v>Lead times unknown</x:v>
      </x:c>
    </x:row>
    <x:row r="38" ht="22" customHeight="1">
      <x:c r="A38" s="34" t="str">
        <x:v>Electrical conduit allowance (LF)</x:v>
      </x:c>
      <x:c r="B38" s="32" t="n">
        <x:v>2400</x:v>
      </x:c>
      <x:c r="C38" t="str">
        <x:v>LF</x:v>
      </x:c>
      <x:c r="D38" s="36" t="str">
        <x:v>Provisional routing</x:v>
      </x:c>
    </x:row>
    <x:row r="39" ht="22" customHeight="1">
      <x:c r="A39" s="34" t="str">
        <x:v>Electrical branch wire allowance (LF)</x:v>
      </x:c>
      <x:c r="B39" s="32" t="n">
        <x:v>7200</x:v>
      </x:c>
      <x:c r="C39" t="str">
        <x:v>LF</x:v>
      </x:c>
      <x:c r="D39" s="36" t="str">
        <x:v>Provisional routing</x:v>
      </x:c>
    </x:row>
    <x:row r="40" ht="22" customHeight="1">
      <x:c r="A40" s="34" t="str">
        <x:v>Cat6 cabling allowance (LF)</x:v>
      </x:c>
      <x:c r="B40" s="32" t="n">
        <x:v>4200</x:v>
      </x:c>
      <x:c r="C40" t="str">
        <x:v>LF</x:v>
      </x:c>
      <x:c r="D40" s="36" t="str">
        <x:v>Provisional routing</x:v>
      </x:c>
    </x:row>
    <x:row r="41" ht="22" customHeight="1">
      <x:c r="A41" s="34" t="str">
        <x:v>Wall control stations (EA)</x:v>
      </x:c>
      <x:c r="B41" s="32" t="n">
        <x:v>18</x:v>
      </x:c>
      <x:c r="C41" t="str">
        <x:v>EA</x:v>
      </x:c>
      <x:c r="D41" s="36" t="str">
        <x:v>Provisional count</x:v>
      </x:c>
    </x:row>
    <x:row r="42" ht="22" customHeight="1">
      <x:c r="A42" s="34" t="str">
        <x:v>Exit signs (EA)</x:v>
      </x:c>
      <x:c r="B42" s="32" t="n">
        <x:v>4</x:v>
      </x:c>
      <x:c r="C42" t="str">
        <x:v>EA</x:v>
      </x:c>
      <x:c r="D42" s="36" t="str">
        <x:v>Subject to life safety design</x:v>
      </x:c>
    </x:row>
    <x:row r="43" ht="22" customHeight="1">
      <x:c r="A43" s="34" t="str">
        <x:v>Emergency lighting heads (EA)</x:v>
      </x:c>
      <x:c r="B43" s="32" t="n">
        <x:v>8</x:v>
      </x:c>
      <x:c r="C43" t="str">
        <x:v>EA</x:v>
      </x:c>
      <x:c r="D43" s="36" t="str">
        <x:v>Subject to life safety design</x:v>
      </x:c>
    </x:row>
    <x:row r="44" ht="22" customHeight="1">
      <x:c r="A44" s="34" t="str">
        <x:v>Branch circuit allowances (EA)</x:v>
      </x:c>
      <x:c r="B44" s="32" t="n">
        <x:v>18</x:v>
      </x:c>
      <x:c r="C44" t="str">
        <x:v>EA</x:v>
      </x:c>
      <x:c r="D44" s="36" t="str">
        <x:v>Subject to electrical design</x:v>
      </x:c>
    </x:row>
    <x:row r="45" ht="22" customHeight="1">
      <x:c r="A45" s="34" t="str">
        <x:v>ACT perimeter angle allowance (LF)</x:v>
      </x:c>
      <x:c r="B45" s="32" t="n">
        <x:v>1056</x:v>
      </x:c>
      <x:c r="C45" t="str">
        <x:v>LF</x:v>
      </x:c>
      <x:c r="D45" s="36" t="str">
        <x:v>Needs shared-wall perimeter check</x:v>
      </x:c>
    </x:row>
  </x:sheetData>
  <x:mergeCells>
    <x:mergeCell ref="A1:L2"/>
    <x:mergeCell ref="A3:L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0" hidden="0" customWidth="1"/>
    <x:col min="2" max="2" width="30" hidden="0" customWidth="1"/>
    <x:col min="3" max="3" width="12" hidden="0" customWidth="1"/>
    <x:col min="4" max="4" width="12" hidden="0" customWidth="1"/>
    <x:col min="5" max="5" width="13" hidden="0" customWidth="1"/>
    <x:col min="6" max="6" width="10" hidden="0" customWidth="1"/>
    <x:col min="7" max="7" width="15" hidden="0" customWidth="1"/>
    <x:col min="8" max="8" width="13" hidden="0" customWidth="1"/>
    <x:col min="9" max="9" width="12" hidden="0" customWidth="1"/>
    <x:col min="10" max="10" width="17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1" ht="25" customHeight="1">
      <x:c r="A1" s="4" t="str">
        <x:v>ZONE / ROOM SCHEDULE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4" customHeight="1">
      <x:c r="A3" s="9" t="str">
        <x:v>Nine schematic zones; dimensions form the 120 x 80 ft concept geometry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</x:row>
    <x:row r="5" ht="29" customHeight="1">
      <x:c r="A5" s="15" t="str">
        <x:v>Zone</x:v>
      </x:c>
      <x:c r="B5" s="15" t="str">
        <x:v>Room / Space</x:v>
      </x:c>
      <x:c r="C5" s="15" t="str">
        <x:v>Width (FT)</x:v>
      </x:c>
      <x:c r="D5" s="15" t="str">
        <x:v>Depth (FT)</x:v>
      </x:c>
      <x:c r="E5" s="15" t="str">
        <x:v>Area (SF)</x:v>
      </x:c>
      <x:c r="F5" s="15" t="str">
        <x:v>Doors</x:v>
      </x:c>
      <x:c r="G5" s="15" t="str">
        <x:v>Floor finish</x:v>
      </x:c>
      <x:c r="H5" s="15" t="str">
        <x:v>Base LF</x:v>
      </x:c>
      <x:c r="I5" s="15" t="str">
        <x:v>Ceiling</x:v>
      </x:c>
      <x:c r="J5" s="15" t="str">
        <x:v>Sheet ref</x:v>
      </x:c>
      <x:c r="K5" s="15" t="str">
        <x:v>LED EA</x:v>
      </x:c>
      <x:c r="L5" s="15" t="str">
        <x:v>Duplex EA</x:v>
      </x:c>
      <x:c r="M5" s="15" t="str">
        <x:v>Data EA</x:v>
      </x:c>
    </x:row>
    <x:row r="6">
      <x:c r="A6" t="str">
        <x:v>Z01</x:v>
      </x:c>
      <x:c r="B6" t="str">
        <x:v>Reception + Lounge</x:v>
      </x:c>
      <x:c r="C6" s="32" t="n">
        <x:v>36</x:v>
      </x:c>
      <x:c r="D6" s="32" t="n">
        <x:v>34</x:v>
      </x:c>
      <x:c r="E6" t="n">
        <x:f>C6*D6</x:f>
        <x:v>1224</x:v>
      </x:c>
      <x:c r="F6" s="32" t="n">
        <x:v>1</x:v>
      </x:c>
      <x:c r="G6" t="str">
        <x:v>LVT</x:v>
      </x:c>
      <x:c r="H6" t="n">
        <x:f>2*(C6+D6)-3*F6</x:f>
        <x:v>137</x:v>
      </x:c>
      <x:c r="I6" t="str">
        <x:v>ACT</x:v>
      </x:c>
      <x:c r="J6" t="str">
        <x:v>A-101/NW</x:v>
      </x:c>
      <x:c r="K6" s="32" t="n">
        <x:v>6</x:v>
      </x:c>
      <x:c r="L6" s="32" t="n">
        <x:v>8</x:v>
      </x:c>
      <x:c r="M6" s="32" t="n">
        <x:v>4</x:v>
      </x:c>
    </x:row>
    <x:row r="7">
      <x:c r="A7" t="str">
        <x:v>Z02</x:v>
      </x:c>
      <x:c r="B7" t="str">
        <x:v>Open Office - North</x:v>
      </x:c>
      <x:c r="C7" s="32" t="n">
        <x:v>36</x:v>
      </x:c>
      <x:c r="D7" s="32" t="n">
        <x:v>34</x:v>
      </x:c>
      <x:c r="E7" t="n">
        <x:f>C7*D7</x:f>
        <x:v>1224</x:v>
      </x:c>
      <x:c r="F7" s="32" t="n">
        <x:v>1</x:v>
      </x:c>
      <x:c r="G7" t="str">
        <x:v>CARPET</x:v>
      </x:c>
      <x:c r="H7" t="n">
        <x:f>2*(C7+D7)-3*F7</x:f>
        <x:v>137</x:v>
      </x:c>
      <x:c r="I7" t="str">
        <x:v>ACT</x:v>
      </x:c>
      <x:c r="J7" t="str">
        <x:v>A-101/N-C</x:v>
      </x:c>
      <x:c r="K7" s="32" t="n">
        <x:v>8</x:v>
      </x:c>
      <x:c r="L7" s="32" t="n">
        <x:v>12</x:v>
      </x:c>
      <x:c r="M7" s="32" t="n">
        <x:v>8</x:v>
      </x:c>
    </x:row>
    <x:row r="8">
      <x:c r="A8" t="str">
        <x:v>Z03</x:v>
      </x:c>
      <x:c r="B8" t="str">
        <x:v>Conference Suite</x:v>
      </x:c>
      <x:c r="C8" s="32" t="n">
        <x:v>24</x:v>
      </x:c>
      <x:c r="D8" s="32" t="n">
        <x:v>34</x:v>
      </x:c>
      <x:c r="E8" t="n">
        <x:f>C8*D8</x:f>
        <x:v>816</x:v>
      </x:c>
      <x:c r="F8" s="32" t="n">
        <x:v>1</x:v>
      </x:c>
      <x:c r="G8" t="str">
        <x:v>CARPET</x:v>
      </x:c>
      <x:c r="H8" t="n">
        <x:f>2*(C8+D8)-3*F8</x:f>
        <x:v>113</x:v>
      </x:c>
      <x:c r="I8" t="str">
        <x:v>ACT</x:v>
      </x:c>
      <x:c r="J8" t="str">
        <x:v>A-101/N-E</x:v>
      </x:c>
      <x:c r="K8" s="32" t="n">
        <x:v>5</x:v>
      </x:c>
      <x:c r="L8" s="32" t="n">
        <x:v>8</x:v>
      </x:c>
      <x:c r="M8" s="32" t="n">
        <x:v>5</x:v>
      </x:c>
    </x:row>
    <x:row r="9">
      <x:c r="A9" t="str">
        <x:v>Z04</x:v>
      </x:c>
      <x:c r="B9" t="str">
        <x:v>Training Suite</x:v>
      </x:c>
      <x:c r="C9" s="32" t="n">
        <x:v>24</x:v>
      </x:c>
      <x:c r="D9" s="32" t="n">
        <x:v>34</x:v>
      </x:c>
      <x:c r="E9" t="n">
        <x:f>C9*D9</x:f>
        <x:v>816</x:v>
      </x:c>
      <x:c r="F9" s="32" t="n">
        <x:v>1</x:v>
      </x:c>
      <x:c r="G9" t="str">
        <x:v>CARPET</x:v>
      </x:c>
      <x:c r="H9" t="n">
        <x:f>2*(C9+D9)-3*F9</x:f>
        <x:v>113</x:v>
      </x:c>
      <x:c r="I9" t="str">
        <x:v>ACT</x:v>
      </x:c>
      <x:c r="J9" t="str">
        <x:v>A-101/NE</x:v>
      </x:c>
      <x:c r="K9" s="32" t="n">
        <x:v>5</x:v>
      </x:c>
      <x:c r="L9" s="32" t="n">
        <x:v>8</x:v>
      </x:c>
      <x:c r="M9" s="32" t="n">
        <x:v>5</x:v>
      </x:c>
    </x:row>
    <x:row r="10">
      <x:c r="A10" t="str">
        <x:v>Z05</x:v>
      </x:c>
      <x:c r="B10" t="str">
        <x:v>Open Office - South</x:v>
      </x:c>
      <x:c r="C10" s="32" t="n">
        <x:v>36</x:v>
      </x:c>
      <x:c r="D10" s="32" t="n">
        <x:v>34</x:v>
      </x:c>
      <x:c r="E10" t="n">
        <x:f>C10*D10</x:f>
        <x:v>1224</x:v>
      </x:c>
      <x:c r="F10" s="32" t="n">
        <x:v>1</x:v>
      </x:c>
      <x:c r="G10" t="str">
        <x:v>CARPET</x:v>
      </x:c>
      <x:c r="H10" t="n">
        <x:f>2*(C10+D10)-3*F10</x:f>
        <x:v>137</x:v>
      </x:c>
      <x:c r="I10" t="str">
        <x:v>ACT</x:v>
      </x:c>
      <x:c r="J10" t="str">
        <x:v>A-101/SW</x:v>
      </x:c>
      <x:c r="K10" s="32" t="n">
        <x:v>8</x:v>
      </x:c>
      <x:c r="L10" s="32" t="n">
        <x:v>12</x:v>
      </x:c>
      <x:c r="M10" s="32" t="n">
        <x:v>8</x:v>
      </x:c>
    </x:row>
    <x:row r="11">
      <x:c r="A11" t="str">
        <x:v>Z06</x:v>
      </x:c>
      <x:c r="B11" t="str">
        <x:v>Private Office Suite</x:v>
      </x:c>
      <x:c r="C11" s="32" t="n">
        <x:v>36</x:v>
      </x:c>
      <x:c r="D11" s="32" t="n">
        <x:v>34</x:v>
      </x:c>
      <x:c r="E11" t="n">
        <x:f>C11*D11</x:f>
        <x:v>1224</x:v>
      </x:c>
      <x:c r="F11" s="32" t="n">
        <x:v>1</x:v>
      </x:c>
      <x:c r="G11" t="str">
        <x:v>CARPET</x:v>
      </x:c>
      <x:c r="H11" t="n">
        <x:f>2*(C11+D11)-3*F11</x:f>
        <x:v>137</x:v>
      </x:c>
      <x:c r="I11" t="str">
        <x:v>ACT</x:v>
      </x:c>
      <x:c r="J11" t="str">
        <x:v>A-101/S-C</x:v>
      </x:c>
      <x:c r="K11" s="32" t="n">
        <x:v>8</x:v>
      </x:c>
      <x:c r="L11" s="32" t="n">
        <x:v>12</x:v>
      </x:c>
      <x:c r="M11" s="32" t="n">
        <x:v>8</x:v>
      </x:c>
    </x:row>
    <x:row r="12">
      <x:c r="A12" t="str">
        <x:v>Z07</x:v>
      </x:c>
      <x:c r="B12" t="str">
        <x:v>Breakroom + Pantry</x:v>
      </x:c>
      <x:c r="C12" s="32" t="n">
        <x:v>24</x:v>
      </x:c>
      <x:c r="D12" s="32" t="n">
        <x:v>34</x:v>
      </x:c>
      <x:c r="E12" t="n">
        <x:f>C12*D12</x:f>
        <x:v>816</x:v>
      </x:c>
      <x:c r="F12" s="32" t="n">
        <x:v>1</x:v>
      </x:c>
      <x:c r="G12" t="str">
        <x:v>TILE</x:v>
      </x:c>
      <x:c r="H12" t="n">
        <x:f>2*(C12+D12)-3*F12</x:f>
        <x:v>113</x:v>
      </x:c>
      <x:c r="I12" t="str">
        <x:v>GWB</x:v>
      </x:c>
      <x:c r="J12" t="str">
        <x:v>A-101/S-E</x:v>
      </x:c>
      <x:c r="K12" s="32" t="n">
        <x:v>5</x:v>
      </x:c>
      <x:c r="L12" s="32" t="n">
        <x:v>6</x:v>
      </x:c>
      <x:c r="M12" s="32" t="n">
        <x:v>2</x:v>
      </x:c>
    </x:row>
    <x:row r="13">
      <x:c r="A13" t="str">
        <x:v>Z08</x:v>
      </x:c>
      <x:c r="B13" t="str">
        <x:v>IT / Storage</x:v>
      </x:c>
      <x:c r="C13" s="32" t="n">
        <x:v>24</x:v>
      </x:c>
      <x:c r="D13" s="32" t="n">
        <x:v>34</x:v>
      </x:c>
      <x:c r="E13" t="n">
        <x:f>C13*D13</x:f>
        <x:v>816</x:v>
      </x:c>
      <x:c r="F13" s="32" t="n">
        <x:v>1</x:v>
      </x:c>
      <x:c r="G13" t="str">
        <x:v>SEALED</x:v>
      </x:c>
      <x:c r="H13" t="n">
        <x:f>2*(C13+D13)-3*F13</x:f>
        <x:v>113</x:v>
      </x:c>
      <x:c r="I13" t="str">
        <x:v>GWB</x:v>
      </x:c>
      <x:c r="J13" t="str">
        <x:v>A-101/SE</x:v>
      </x:c>
      <x:c r="K13" s="32" t="n">
        <x:v>3</x:v>
      </x:c>
      <x:c r="L13" s="32" t="n">
        <x:v>4</x:v>
      </x:c>
      <x:c r="M13" s="32" t="n">
        <x:v>2</x:v>
      </x:c>
    </x:row>
    <x:row r="14">
      <x:c r="A14" t="str">
        <x:v>Z09</x:v>
      </x:c>
      <x:c r="B14" t="str">
        <x:v>Central Spine Corridor</x:v>
      </x:c>
      <x:c r="C14" s="32" t="n">
        <x:v>120</x:v>
      </x:c>
      <x:c r="D14" s="32" t="n">
        <x:v>12</x:v>
      </x:c>
      <x:c r="E14" t="n">
        <x:f>C14*D14</x:f>
        <x:v>1440</x:v>
      </x:c>
      <x:c r="F14" s="32" t="n">
        <x:v>0</x:v>
      </x:c>
      <x:c r="G14" t="str">
        <x:v>LVT</x:v>
      </x:c>
      <x:c r="H14" t="n">
        <x:f>2*C14-Inputs!B8*Inputs!B9</x:f>
        <x:v>216</x:v>
      </x:c>
      <x:c r="I14" t="str">
        <x:v>ACT</x:v>
      </x:c>
      <x:c r="J14" t="str">
        <x:v>A-101/C</x:v>
      </x:c>
      <x:c r="K14" s="32" t="n">
        <x:v>8</x:v>
      </x:c>
      <x:c r="L14" s="32" t="n">
        <x:v>4</x:v>
      </x:c>
      <x:c r="M14" s="32" t="n">
        <x:v>0</x:v>
      </x:c>
    </x:row>
    <x:row r="15" ht="30" customHeight="1">
      <x:c r="A15" s="38" t="str">
        <x:v>TOTAL</x:v>
      </x:c>
      <x:c r="B15" s="38" t="str"/>
      <x:c r="C15" s="38"/>
      <x:c r="D15" s="38"/>
      <x:c r="E15" s="38" t="n">
        <x:f>SUM(E6:E14)</x:f>
        <x:v>9600</x:v>
      </x:c>
      <x:c r="F15" s="38"/>
      <x:c r="G15" s="38"/>
      <x:c r="H15" s="38" t="n">
        <x:f>SUM(H6:H14)</x:f>
        <x:v>1216</x:v>
      </x:c>
      <x:c r="I15" s="38"/>
      <x:c r="J15" s="38"/>
      <x:c r="K15" s="38" t="n">
        <x:f>SUM(K6:K14)</x:f>
        <x:v>56</x:v>
      </x:c>
      <x:c r="L15" s="38" t="n">
        <x:f>SUM(L6:L14)</x:f>
        <x:v>74</x:v>
      </x:c>
      <x:c r="M15" s="38" t="n">
        <x:f>SUM(M6:M14)</x:f>
        <x:v>42</x:v>
      </x:c>
    </x:row>
  </x:sheetData>
  <x:mergeCells>
    <x:mergeCell ref="A1:M2"/>
    <x:mergeCell ref="A3:M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9" hidden="0" customWidth="1"/>
    <x:col min="2" max="2" width="8" hidden="0" customWidth="1"/>
    <x:col min="3" max="3" width="24" hidden="0" customWidth="1"/>
    <x:col min="4" max="4" width="37" hidden="0" customWidth="1"/>
    <x:col min="5" max="5" width="14" hidden="0" customWidth="1"/>
    <x:col min="6" max="6" width="15" hidden="0" customWidth="1"/>
    <x:col min="7" max="7" width="45" hidden="0" customWidth="1"/>
    <x:col min="8" max="8" width="12" hidden="0" customWidth="1"/>
    <x:col min="9" max="9" width="13" hidden="0" customWidth="1"/>
    <x:col min="10" max="10" width="12" hidden="0" customWidth="1"/>
    <x:col min="11" max="11" width="14" hidden="0" customWidth="1"/>
    <x:col min="12" max="12" width="16" hidden="0" customWidth="1"/>
    <x:col min="13" max="13" width="16" hidden="0" customWidth="1"/>
    <x:col min="14" max="14" width="15" hidden="0" customWidth="1"/>
    <x:col min="15" max="15" width="19" hidden="0" customWidth="1"/>
    <x:col min="16" max="16" width="19" hidden="0" customWidth="1"/>
    <x:col min="17" max="17" width="18" hidden="0" customWidth="1"/>
    <x:col min="18" max="18" width="20" hidden="0" customWidth="1"/>
    <x:col min="19" max="19" width="14" hidden="0" customWidth="1"/>
    <x:col min="20" max="20" width="18" hidden="0" customWidth="1"/>
    <x:col min="21" max="21" width="16" hidden="0" customWidth="1"/>
    <x:col min="22" max="22" width="48" hidden="0" customWidth="1"/>
  </x:cols>
  <x:sheetData>
    <x:row r="1" ht="25" customHeight="1">
      <x:c r="A1" s="4" t="str">
        <x:v>QUANTITY TAKEOFF | 96 LINE REGISTER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</x:row>
    <x:row r="3" ht="24" customHeight="1">
      <x:c r="A3" s="9" t="str">
        <x:v>All rates are fictional USD demo inputs; refresh/recalculate workbook after editing inputs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  <x:c r="O3" s="9"/>
      <x:c r="P3" s="9"/>
      <x:c r="Q3" s="9"/>
      <x:c r="R3" s="9"/>
      <x:c r="S3" s="9"/>
      <x:c r="T3" s="9"/>
      <x:c r="U3" s="9"/>
      <x:c r="V3" s="9"/>
    </x:row>
    <x:row r="5" ht="43" customHeight="1">
      <x:c r="A5" s="15" t="str">
        <x:v>ID</x:v>
      </x:c>
      <x:c r="B5" s="15" t="str">
        <x:v>CSI</x:v>
      </x:c>
      <x:c r="C5" s="15" t="str">
        <x:v>Trade</x:v>
      </x:c>
      <x:c r="D5" s="15" t="str">
        <x:v>Description</x:v>
      </x:c>
      <x:c r="E5" s="15" t="str">
        <x:v>Zone</x:v>
      </x:c>
      <x:c r="F5" s="15" t="str">
        <x:v>Drawing</x:v>
      </x:c>
      <x:c r="G5" s="15" t="str">
        <x:v>Measurement basis</x:v>
      </x:c>
      <x:c r="H5" s="15" t="str">
        <x:v>Unit</x:v>
      </x:c>
      <x:c r="I5" s="15" t="str">
        <x:v>Net Qty</x:v>
      </x:c>
      <x:c r="J5" s="15" t="str">
        <x:v>Allowance %</x:v>
      </x:c>
      <x:c r="K5" s="15" t="str">
        <x:v>Gross Qty</x:v>
      </x:c>
      <x:c r="L5" s="15" t="str">
        <x:v>Material USD/Unit</x:v>
      </x:c>
      <x:c r="M5" s="15" t="str">
        <x:v>Labor USD/Unit</x:v>
      </x:c>
      <x:c r="N5" s="15" t="str">
        <x:v>Equip USD/Unit</x:v>
      </x:c>
      <x:c r="O5" s="15" t="str">
        <x:v>Material Extended</x:v>
      </x:c>
      <x:c r="P5" s="15" t="str">
        <x:v>Labor Extended</x:v>
      </x:c>
      <x:c r="Q5" s="15" t="str">
        <x:v>Equip Extended</x:v>
      </x:c>
      <x:c r="R5" s="15" t="str">
        <x:v>Direct Extended</x:v>
      </x:c>
      <x:c r="S5" s="15" t="str">
        <x:v>Hours/Unit</x:v>
      </x:c>
      <x:c r="T5" s="15" t="str">
        <x:v>Total Labor Hours</x:v>
      </x:c>
      <x:c r="U5" s="15" t="str">
        <x:v>Status</x:v>
      </x:c>
      <x:c r="V5" s="15" t="str">
        <x:v>Qualification</x:v>
      </x:c>
    </x:row>
    <x:row r="6" ht="25" customHeight="1">
      <x:c r="A6" t="str">
        <x:v>Q001</x:v>
      </x:c>
      <x:c r="B6" t="str">
        <x:v>01</x:v>
      </x:c>
      <x:c r="C6" t="str">
        <x:v>General Conditions</x:v>
      </x:c>
      <x:c r="D6" t="str">
        <x:v>Mobilization &amp; floor protection setup</x:v>
      </x:c>
      <x:c r="E6" t="str">
        <x:v>ALL</x:v>
      </x:c>
      <x:c r="F6" t="str">
        <x:v>G-001</x:v>
      </x:c>
      <x:c r="G6" s="26" t="str">
        <x:v>1 project allowance</x:v>
      </x:c>
      <x:c r="H6" t="str">
        <x:v>LS</x:v>
      </x:c>
      <x:c r="I6" s="40" t="n">
        <x:f>1</x:f>
        <x:v>1</x:v>
      </x:c>
      <x:c r="J6" s="40" t="n">
        <x:v>0</x:v>
      </x:c>
      <x:c r="K6" s="41" t="n">
        <x:f>ROUND(I6*(1+J6/100),2)</x:f>
        <x:v>1</x:v>
      </x:c>
      <x:c r="L6" s="40" t="n">
        <x:v>1200</x:v>
      </x:c>
      <x:c r="M6" s="40" t="n">
        <x:v>1800</x:v>
      </x:c>
      <x:c r="N6" s="40" t="n">
        <x:v>550</x:v>
      </x:c>
      <x:c r="O6" s="41" t="n">
        <x:f>K6*L6</x:f>
        <x:v>1200</x:v>
      </x:c>
      <x:c r="P6" s="41" t="n">
        <x:f>K6*M6</x:f>
        <x:v>1800</x:v>
      </x:c>
      <x:c r="Q6" s="41" t="n">
        <x:f>K6*N6</x:f>
        <x:v>550</x:v>
      </x:c>
      <x:c r="R6" s="41" t="n">
        <x:f>SUM(O6:Q6)</x:f>
        <x:v>3550</x:v>
      </x:c>
      <x:c r="S6" s="40" t="n">
        <x:v>28</x:v>
      </x:c>
      <x:c r="T6" s="41" t="n">
        <x:f>K6*S6</x:f>
        <x:v>28</x:v>
      </x:c>
      <x:c r="U6" t="str">
        <x:v>ALLOWANCE</x:v>
      </x:c>
      <x:c r="V6" t="str"/>
    </x:row>
    <x:row r="7" ht="25" customHeight="1">
      <x:c r="A7" t="str">
        <x:v>Q002</x:v>
      </x:c>
      <x:c r="B7" t="str">
        <x:v>01</x:v>
      </x:c>
      <x:c r="C7" t="str">
        <x:v>General Conditions</x:v>
      </x:c>
      <x:c r="D7" t="str">
        <x:v>Occupied-area dust protection</x:v>
      </x:c>
      <x:c r="E7" t="str">
        <x:v>ALL</x:v>
      </x:c>
      <x:c r="F7" t="str">
        <x:v>G-001</x:v>
      </x:c>
      <x:c r="G7" s="26" t="str">
        <x:v>9,600 SF suite</x:v>
      </x:c>
      <x:c r="H7" t="str">
        <x:v>SF</x:v>
      </x:c>
      <x:c r="I7" s="40" t="n">
        <x:f>SUM('Zone Schedule'!E6:E14)</x:f>
        <x:v>9600</x:v>
      </x:c>
      <x:c r="J7" s="40" t="n">
        <x:v>0</x:v>
      </x:c>
      <x:c r="K7" s="41" t="n">
        <x:f>ROUND(I7*(1+J7/100),2)</x:f>
        <x:v>9600</x:v>
      </x:c>
      <x:c r="L7" s="40" t="n">
        <x:v>0.65</x:v>
      </x:c>
      <x:c r="M7" s="40" t="n">
        <x:v>1.1</x:v>
      </x:c>
      <x:c r="N7" s="40" t="n">
        <x:v>0.1</x:v>
      </x:c>
      <x:c r="O7" s="41" t="n">
        <x:f>K7*L7</x:f>
        <x:v>6240</x:v>
      </x:c>
      <x:c r="P7" s="41" t="n">
        <x:f>K7*M7</x:f>
        <x:v>10560</x:v>
      </x:c>
      <x:c r="Q7" s="41" t="n">
        <x:f>K7*N7</x:f>
        <x:v>960</x:v>
      </x:c>
      <x:c r="R7" s="41" t="n">
        <x:f>SUM(O7:Q7)</x:f>
        <x:v>17760</x:v>
      </x:c>
      <x:c r="S7" s="40" t="n">
        <x:v>0.02</x:v>
      </x:c>
      <x:c r="T7" s="41" t="n">
        <x:f>K7*S7</x:f>
        <x:v>192</x:v>
      </x:c>
      <x:c r="U7" t="str">
        <x:v>MEASURED</x:v>
      </x:c>
      <x:c r="V7" t="str"/>
    </x:row>
    <x:row r="8" ht="25" customHeight="1">
      <x:c r="A8" t="str">
        <x:v>Q003</x:v>
      </x:c>
      <x:c r="B8" t="str">
        <x:v>02</x:v>
      </x:c>
      <x:c r="C8" t="str">
        <x:v>Selective Demolition</x:v>
      </x:c>
      <x:c r="D8" t="str">
        <x:v>Remove existing floor finish</x:v>
      </x:c>
      <x:c r="E8" t="str">
        <x:v>ALL</x:v>
      </x:c>
      <x:c r="F8" t="str">
        <x:v>D-101</x:v>
      </x:c>
      <x:c r="G8" s="26" t="str">
        <x:v>9,600 SF assumption</x:v>
      </x:c>
      <x:c r="H8" t="str">
        <x:v>SF</x:v>
      </x:c>
      <x:c r="I8" s="40" t="n">
        <x:f>SUM('Zone Schedule'!E6:E14)</x:f>
        <x:v>9600</x:v>
      </x:c>
      <x:c r="J8" s="40" t="n">
        <x:v>0</x:v>
      </x:c>
      <x:c r="K8" s="41" t="n">
        <x:f>ROUND(I8*(1+J8/100),2)</x:f>
        <x:v>9600</x:v>
      </x:c>
      <x:c r="L8" s="40" t="n">
        <x:v>0.15</x:v>
      </x:c>
      <x:c r="M8" s="40" t="n">
        <x:v>1.9</x:v>
      </x:c>
      <x:c r="N8" s="40" t="n">
        <x:v>0.24</x:v>
      </x:c>
      <x:c r="O8" s="41" t="n">
        <x:f>K8*L8</x:f>
        <x:v>1440</x:v>
      </x:c>
      <x:c r="P8" s="41" t="n">
        <x:f>K8*M8</x:f>
        <x:v>18240</x:v>
      </x:c>
      <x:c r="Q8" s="41" t="n">
        <x:f>K8*N8</x:f>
        <x:v>2304</x:v>
      </x:c>
      <x:c r="R8" s="41" t="n">
        <x:f>SUM(O8:Q8)</x:f>
        <x:v>21984</x:v>
      </x:c>
      <x:c r="S8" s="40" t="n">
        <x:v>0.045</x:v>
      </x:c>
      <x:c r="T8" s="41" t="n">
        <x:f>K8*S8</x:f>
        <x:v>432</x:v>
      </x:c>
      <x:c r="U8" t="str">
        <x:v>ALLOWANCE</x:v>
      </x:c>
      <x:c r="V8" t="str">
        <x:v>Existing conditions unverified.</x:v>
      </x:c>
    </x:row>
    <x:row r="9" ht="25" customHeight="1">
      <x:c r="A9" t="str">
        <x:v>Q004</x:v>
      </x:c>
      <x:c r="B9" t="str">
        <x:v>02</x:v>
      </x:c>
      <x:c r="C9" t="str">
        <x:v>Selective Demolition</x:v>
      </x:c>
      <x:c r="D9" t="str">
        <x:v>Waste / container service</x:v>
      </x:c>
      <x:c r="E9" t="str">
        <x:v>ALL</x:v>
      </x:c>
      <x:c r="F9" t="str">
        <x:v>D-101</x:v>
      </x:c>
      <x:c r="G9" s="26" t="str">
        <x:v>6 assumed containers</x:v>
      </x:c>
      <x:c r="H9" t="str">
        <x:v>EA</x:v>
      </x:c>
      <x:c r="I9" s="40" t="n">
        <x:f>6</x:f>
        <x:v>6</x:v>
      </x:c>
      <x:c r="J9" s="40" t="n">
        <x:v>0</x:v>
      </x:c>
      <x:c r="K9" s="41" t="n">
        <x:f>ROUND(I9*(1+J9/100),2)</x:f>
        <x:v>6</x:v>
      </x:c>
      <x:c r="L9" s="40" t="n">
        <x:v>360</x:v>
      </x:c>
      <x:c r="M9" s="40" t="n">
        <x:v>110</x:v>
      </x:c>
      <x:c r="N9" s="40" t="n">
        <x:v>80</x:v>
      </x:c>
      <x:c r="O9" s="41" t="n">
        <x:f>K9*L9</x:f>
        <x:v>2160</x:v>
      </x:c>
      <x:c r="P9" s="41" t="n">
        <x:f>K9*M9</x:f>
        <x:v>660</x:v>
      </x:c>
      <x:c r="Q9" s="41" t="n">
        <x:f>K9*N9</x:f>
        <x:v>480</x:v>
      </x:c>
      <x:c r="R9" s="41" t="n">
        <x:f>SUM(O9:Q9)</x:f>
        <x:v>3300</x:v>
      </x:c>
      <x:c r="S9" s="40" t="n">
        <x:v>1.5</x:v>
      </x:c>
      <x:c r="T9" s="41" t="n">
        <x:f>K9*S9</x:f>
        <x:v>9</x:v>
      </x:c>
      <x:c r="U9" t="str">
        <x:v>ALLOWANCE</x:v>
      </x:c>
      <x:c r="V9" t="str"/>
    </x:row>
    <x:row r="10" ht="25" customHeight="1">
      <x:c r="A10" t="str">
        <x:v>Q005</x:v>
      </x:c>
      <x:c r="B10" t="str">
        <x:v>03</x:v>
      </x:c>
      <x:c r="C10" t="str">
        <x:v>Concrete / Substrate</x:v>
      </x:c>
      <x:c r="D10" t="str">
        <x:v>Subfloor leveling / skimcoat</x:v>
      </x:c>
      <x:c r="E10" t="str">
        <x:v>ALL</x:v>
      </x:c>
      <x:c r="F10" t="str">
        <x:v>A-101</x:v>
      </x:c>
      <x:c r="G10" s="26" t="str">
        <x:v>25% of floor area</x:v>
      </x:c>
      <x:c r="H10" t="str">
        <x:v>SF</x:v>
      </x:c>
      <x:c r="I10" s="40" t="n">
        <x:f>SUM('Zone Schedule'!E6:E14)*25%</x:f>
        <x:v>2400</x:v>
      </x:c>
      <x:c r="J10" s="40" t="n">
        <x:v>5</x:v>
      </x:c>
      <x:c r="K10" s="41" t="n">
        <x:f>ROUND(I10*(1+J10/100),2)</x:f>
        <x:v>2520</x:v>
      </x:c>
      <x:c r="L10" s="40" t="n">
        <x:v>2.2</x:v>
      </x:c>
      <x:c r="M10" s="40" t="n">
        <x:v>1.75</x:v>
      </x:c>
      <x:c r="N10" s="40" t="n">
        <x:v>0.15</x:v>
      </x:c>
      <x:c r="O10" s="41" t="n">
        <x:f>K10*L10</x:f>
        <x:v>5544</x:v>
      </x:c>
      <x:c r="P10" s="41" t="n">
        <x:f>K10*M10</x:f>
        <x:v>4410</x:v>
      </x:c>
      <x:c r="Q10" s="41" t="n">
        <x:f>K10*N10</x:f>
        <x:v>378</x:v>
      </x:c>
      <x:c r="R10" s="41" t="n">
        <x:f>SUM(O10:Q10)</x:f>
        <x:v>10332</x:v>
      </x:c>
      <x:c r="S10" s="40" t="n">
        <x:v>0.052</x:v>
      </x:c>
      <x:c r="T10" s="41" t="n">
        <x:f>K10*S10</x:f>
        <x:v>131.04</x:v>
      </x:c>
      <x:c r="U10" t="str">
        <x:v>ALLOWANCE</x:v>
      </x:c>
      <x:c r="V10" t="str"/>
    </x:row>
    <x:row r="11" ht="25" customHeight="1">
      <x:c r="A11" t="str">
        <x:v>Q006</x:v>
      </x:c>
      <x:c r="B11" t="str">
        <x:v>03</x:v>
      </x:c>
      <x:c r="C11" t="str">
        <x:v>Concrete / Substrate</x:v>
      </x:c>
      <x:c r="D11" t="str">
        <x:v>Crack repair / grind</x:v>
      </x:c>
      <x:c r="E11" t="str">
        <x:v>ALL</x:v>
      </x:c>
      <x:c r="F11" t="str">
        <x:v>A-101</x:v>
      </x:c>
      <x:c r="G11" s="26" t="str">
        <x:v>180 LF provisional</x:v>
      </x:c>
      <x:c r="H11" t="str">
        <x:v>LF</x:v>
      </x:c>
      <x:c r="I11" s="40" t="n">
        <x:f>180</x:f>
        <x:v>180</x:v>
      </x:c>
      <x:c r="J11" s="40" t="n">
        <x:v>5</x:v>
      </x:c>
      <x:c r="K11" s="41" t="n">
        <x:f>ROUND(I11*(1+J11/100),2)</x:f>
        <x:v>189</x:v>
      </x:c>
      <x:c r="L11" s="40" t="n">
        <x:v>3.1</x:v>
      </x:c>
      <x:c r="M11" s="40" t="n">
        <x:v>5.2</x:v>
      </x:c>
      <x:c r="N11" s="40" t="n">
        <x:v>1.4</x:v>
      </x:c>
      <x:c r="O11" s="41" t="n">
        <x:f>K11*L11</x:f>
        <x:v>585.9</x:v>
      </x:c>
      <x:c r="P11" s="41" t="n">
        <x:f>K11*M11</x:f>
        <x:v>982.8000000000001</x:v>
      </x:c>
      <x:c r="Q11" s="41" t="n">
        <x:f>K11*N11</x:f>
        <x:v>264.59999999999997</x:v>
      </x:c>
      <x:c r="R11" s="41" t="n">
        <x:f>SUM(O11:Q11)</x:f>
        <x:v>1833.3</x:v>
      </x:c>
      <x:c r="S11" s="40" t="n">
        <x:v>0.18</x:v>
      </x:c>
      <x:c r="T11" s="41" t="n">
        <x:f>K11*S11</x:f>
        <x:v>34.019999999999996</x:v>
      </x:c>
      <x:c r="U11" t="str">
        <x:v>ALLOWANCE</x:v>
      </x:c>
      <x:c r="V11" t="str"/>
    </x:row>
    <x:row r="12" ht="25" customHeight="1">
      <x:c r="A12" t="str">
        <x:v>Q007</x:v>
      </x:c>
      <x:c r="B12" t="str">
        <x:v>05</x:v>
      </x:c>
      <x:c r="C12" t="str">
        <x:v>Cold-formed Framing</x:v>
      </x:c>
      <x:c r="D12" t="str">
        <x:v>10 ft metal partition studs</x:v>
      </x:c>
      <x:c r="E12" t="str">
        <x:v>PARTITIONS</x:v>
      </x:c>
      <x:c r="F12" t="str">
        <x:v>A-201/P1</x:v>
      </x:c>
      <x:c r="G12" s="26" t="str">
        <x:v>444 LF at 16in OC plus jambs</x:v>
      </x:c>
      <x:c r="H12" t="str">
        <x:v>EA</x:v>
      </x:c>
      <x:c r="I12" s="40" t="n">
        <x:f>ROUNDUP(Inputs!B6*12/16,0)+2*Inputs!B8</x:f>
        <x:v>349</x:v>
      </x:c>
      <x:c r="J12" s="40" t="n">
        <x:v>3</x:v>
      </x:c>
      <x:c r="K12" s="41" t="n">
        <x:f>ROUND(I12*(1+J12/100),2)</x:f>
        <x:v>359.47</x:v>
      </x:c>
      <x:c r="L12" s="40" t="n">
        <x:v>10.5</x:v>
      </x:c>
      <x:c r="M12" s="40" t="n">
        <x:v>12.5</x:v>
      </x:c>
      <x:c r="N12" s="40" t="n">
        <x:v>0.5</x:v>
      </x:c>
      <x:c r="O12" s="41" t="n">
        <x:f>K12*L12</x:f>
        <x:v>3774.4350000000004</x:v>
      </x:c>
      <x:c r="P12" s="41" t="n">
        <x:f>K12*M12</x:f>
        <x:v>4493.375</x:v>
      </x:c>
      <x:c r="Q12" s="41" t="n">
        <x:f>K12*N12</x:f>
        <x:v>179.735</x:v>
      </x:c>
      <x:c r="R12" s="41" t="n">
        <x:f>SUM(O12:Q12)</x:f>
        <x:v>8447.545000000002</x:v>
      </x:c>
      <x:c r="S12" s="40" t="n">
        <x:v>0.29</x:v>
      </x:c>
      <x:c r="T12" s="41" t="n">
        <x:f>K12*S12</x:f>
        <x:v>104.2463</x:v>
      </x:c>
      <x:c r="U12" t="str">
        <x:v>MEASURED</x:v>
      </x:c>
      <x:c r="V12" t="str"/>
    </x:row>
    <x:row r="13" ht="25" customHeight="1">
      <x:c r="A13" t="str">
        <x:v>Q008</x:v>
      </x:c>
      <x:c r="B13" t="str">
        <x:v>05</x:v>
      </x:c>
      <x:c r="C13" t="str">
        <x:v>Cold-formed Framing</x:v>
      </x:c>
      <x:c r="D13" t="str">
        <x:v>Bottom/top tracks plus door heads</x:v>
      </x:c>
      <x:c r="E13" t="str">
        <x:v>PARTITIONS</x:v>
      </x:c>
      <x:c r="F13" t="str">
        <x:v>A-201/P1</x:v>
      </x:c>
      <x:c r="G13" s="26" t="str">
        <x:v>2*(444-24) + 24 LF</x:v>
      </x:c>
      <x:c r="H13" t="str">
        <x:v>LF</x:v>
      </x:c>
      <x:c r="I13" s="40" t="n">
        <x:f>2*(Inputs!B6-Inputs!B8*Inputs!B9)+Inputs!B8*Inputs!B9</x:f>
        <x:v>864</x:v>
      </x:c>
      <x:c r="J13" s="40" t="n">
        <x:v>3</x:v>
      </x:c>
      <x:c r="K13" s="41" t="n">
        <x:f>ROUND(I13*(1+J13/100),2)</x:f>
        <x:v>889.92</x:v>
      </x:c>
      <x:c r="L13" s="40" t="n">
        <x:v>2.4</x:v>
      </x:c>
      <x:c r="M13" s="40" t="n">
        <x:v>3.1</x:v>
      </x:c>
      <x:c r="N13" s="40" t="n">
        <x:v>0.15</x:v>
      </x:c>
      <x:c r="O13" s="41" t="n">
        <x:f>K13*L13</x:f>
        <x:v>2135.808</x:v>
      </x:c>
      <x:c r="P13" s="41" t="n">
        <x:f>K13*M13</x:f>
        <x:v>2758.752</x:v>
      </x:c>
      <x:c r="Q13" s="41" t="n">
        <x:f>K13*N13</x:f>
        <x:v>133.488</x:v>
      </x:c>
      <x:c r="R13" s="41" t="n">
        <x:f>SUM(O13:Q13)</x:f>
        <x:v>5028.048</x:v>
      </x:c>
      <x:c r="S13" s="40" t="n">
        <x:v>0.09</x:v>
      </x:c>
      <x:c r="T13" s="41" t="n">
        <x:f>K13*S13</x:f>
        <x:v>80.0928</x:v>
      </x:c>
      <x:c r="U13" t="str">
        <x:v>MEASURED</x:v>
      </x:c>
      <x:c r="V13" t="str"/>
    </x:row>
    <x:row r="14" ht="25" customHeight="1">
      <x:c r="A14" t="str">
        <x:v>Q009</x:v>
      </x:c>
      <x:c r="B14" t="str">
        <x:v>05</x:v>
      </x:c>
      <x:c r="C14" t="str">
        <x:v>Cold-formed Framing</x:v>
      </x:c>
      <x:c r="D14" t="str">
        <x:v>Slotted deflection head track</x:v>
      </x:c>
      <x:c r="E14" t="str">
        <x:v>PARTITIONS</x:v>
      </x:c>
      <x:c r="F14" t="str">
        <x:v>A-201/P1</x:v>
      </x:c>
      <x:c r="G14" s="26" t="str">
        <x:v>444 LF gross partition run</x:v>
      </x:c>
      <x:c r="H14" t="str">
        <x:v>LF</x:v>
      </x:c>
      <x:c r="I14" s="40" t="n">
        <x:f>Inputs!B6</x:f>
        <x:v>444</x:v>
      </x:c>
      <x:c r="J14" s="40" t="n">
        <x:v>3</x:v>
      </x:c>
      <x:c r="K14" s="41" t="n">
        <x:f>ROUND(I14*(1+J14/100),2)</x:f>
        <x:v>457.32</x:v>
      </x:c>
      <x:c r="L14" s="40" t="n">
        <x:v>5</x:v>
      </x:c>
      <x:c r="M14" s="40" t="n">
        <x:v>3.8</x:v>
      </x:c>
      <x:c r="N14" s="40" t="n">
        <x:v>0.2</x:v>
      </x:c>
      <x:c r="O14" s="41" t="n">
        <x:f>K14*L14</x:f>
        <x:v>2286.6</x:v>
      </x:c>
      <x:c r="P14" s="41" t="n">
        <x:f>K14*M14</x:f>
        <x:v>1737.8159999999998</x:v>
      </x:c>
      <x:c r="Q14" s="41" t="n">
        <x:f>K14*N14</x:f>
        <x:v>91.464</x:v>
      </x:c>
      <x:c r="R14" s="41" t="n">
        <x:f>SUM(O14:Q14)</x:f>
        <x:v>4115.88</x:v>
      </x:c>
      <x:c r="S14" s="40" t="n">
        <x:v>0.11</x:v>
      </x:c>
      <x:c r="T14" s="41" t="n">
        <x:f>K14*S14</x:f>
        <x:v>50.3052</x:v>
      </x:c>
      <x:c r="U14" t="str">
        <x:v>MEASURED</x:v>
      </x:c>
      <x:c r="V14" t="str"/>
    </x:row>
    <x:row r="15" ht="25" customHeight="1">
      <x:c r="A15" t="str">
        <x:v>Q010</x:v>
      </x:c>
      <x:c r="B15" t="str">
        <x:v>05</x:v>
      </x:c>
      <x:c r="C15" t="str">
        <x:v>Cold-formed Framing</x:v>
      </x:c>
      <x:c r="D15" t="str">
        <x:v>Door opening header assemblies</x:v>
      </x:c>
      <x:c r="E15" t="str">
        <x:v>PARTITIONS</x:v>
      </x:c>
      <x:c r="F15" t="str">
        <x:v>A-201/D1</x:v>
      </x:c>
      <x:c r="G15" s="26" t="str">
        <x:v>8 interior openings</x:v>
      </x:c>
      <x:c r="H15" t="str">
        <x:v>EA</x:v>
      </x:c>
      <x:c r="I15" s="40" t="n">
        <x:f>Inputs!B8</x:f>
        <x:v>8</x:v>
      </x:c>
      <x:c r="J15" s="40" t="n">
        <x:v>0</x:v>
      </x:c>
      <x:c r="K15" s="41" t="n">
        <x:f>ROUND(I15*(1+J15/100),2)</x:f>
        <x:v>8</x:v>
      </x:c>
      <x:c r="L15" s="40" t="n">
        <x:v>38</x:v>
      </x:c>
      <x:c r="M15" s="40" t="n">
        <x:v>92</x:v>
      </x:c>
      <x:c r="N15" s="40" t="n">
        <x:v>5</x:v>
      </x:c>
      <x:c r="O15" s="41" t="n">
        <x:f>K15*L15</x:f>
        <x:v>304</x:v>
      </x:c>
      <x:c r="P15" s="41" t="n">
        <x:f>K15*M15</x:f>
        <x:v>736</x:v>
      </x:c>
      <x:c r="Q15" s="41" t="n">
        <x:f>K15*N15</x:f>
        <x:v>40</x:v>
      </x:c>
      <x:c r="R15" s="41" t="n">
        <x:f>SUM(O15:Q15)</x:f>
        <x:v>1080</x:v>
      </x:c>
      <x:c r="S15" s="40" t="n">
        <x:v>1.8</x:v>
      </x:c>
      <x:c r="T15" s="41" t="n">
        <x:f>K15*S15</x:f>
        <x:v>14.4</x:v>
      </x:c>
      <x:c r="U15" t="str">
        <x:v>MEASURED</x:v>
      </x:c>
      <x:c r="V15" t="str"/>
    </x:row>
    <x:row r="16" ht="25" customHeight="1">
      <x:c r="A16" t="str">
        <x:v>Q011</x:v>
      </x:c>
      <x:c r="B16" t="str">
        <x:v>05</x:v>
      </x:c>
      <x:c r="C16" t="str">
        <x:v>Cold-formed Framing</x:v>
      </x:c>
      <x:c r="D16" t="str">
        <x:v>Acoustic batt in partition cavities</x:v>
      </x:c>
      <x:c r="E16" t="str">
        <x:v>PARTITIONS</x:v>
      </x:c>
      <x:c r="F16" t="str">
        <x:v>A-201/P1</x:v>
      </x:c>
      <x:c r="G16" s="26" t="str">
        <x:v>One wall face net of doors</x:v>
      </x:c>
      <x:c r="H16" t="str">
        <x:v>SF</x:v>
      </x:c>
      <x:c r="I16" s="40" t="n">
        <x:f>Inputs!B6*Inputs!B7-Inputs!B8*Inputs!B9*Inputs!B10</x:f>
        <x:v>4272</x:v>
      </x:c>
      <x:c r="J16" s="40" t="n">
        <x:v>5</x:v>
      </x:c>
      <x:c r="K16" s="41" t="n">
        <x:f>ROUND(I16*(1+J16/100),2)</x:f>
        <x:v>4485.6</x:v>
      </x:c>
      <x:c r="L16" s="40" t="n">
        <x:v>1.5</x:v>
      </x:c>
      <x:c r="M16" s="40" t="n">
        <x:v>1.25</x:v>
      </x:c>
      <x:c r="N16" s="40" t="n">
        <x:v>0.08</x:v>
      </x:c>
      <x:c r="O16" s="41" t="n">
        <x:f>K16*L16</x:f>
        <x:v>6728.400000000001</x:v>
      </x:c>
      <x:c r="P16" s="41" t="n">
        <x:f>K16*M16</x:f>
        <x:v>5607</x:v>
      </x:c>
      <x:c r="Q16" s="41" t="n">
        <x:f>K16*N16</x:f>
        <x:v>358.848</x:v>
      </x:c>
      <x:c r="R16" s="41" t="n">
        <x:f>SUM(O16:Q16)</x:f>
        <x:v>12694.248000000001</x:v>
      </x:c>
      <x:c r="S16" s="40" t="n">
        <x:v>0.04</x:v>
      </x:c>
      <x:c r="T16" s="41" t="n">
        <x:f>K16*S16</x:f>
        <x:v>179.424</x:v>
      </x:c>
      <x:c r="U16" t="str">
        <x:v>MEASURED</x:v>
      </x:c>
      <x:c r="V16" t="str"/>
    </x:row>
    <x:row r="17" ht="25" customHeight="1">
      <x:c r="A17" t="str">
        <x:v>Q012</x:v>
      </x:c>
      <x:c r="B17" t="str">
        <x:v>05</x:v>
      </x:c>
      <x:c r="C17" t="str">
        <x:v>Cold-formed Framing</x:v>
      </x:c>
      <x:c r="D17" t="str">
        <x:v>In-wall backing / blocking</x:v>
      </x:c>
      <x:c r="E17" t="str">
        <x:v>PARTITIONS</x:v>
      </x:c>
      <x:c r="F17" t="str">
        <x:v>A-201/P1</x:v>
      </x:c>
      <x:c r="G17" s="26" t="str">
        <x:v>240 LF allowance</x:v>
      </x:c>
      <x:c r="H17" t="str">
        <x:v>LF</x:v>
      </x:c>
      <x:c r="I17" s="40" t="n">
        <x:f>240</x:f>
        <x:v>240</x:v>
      </x:c>
      <x:c r="J17" s="40" t="n">
        <x:v>5</x:v>
      </x:c>
      <x:c r="K17" s="41" t="n">
        <x:f>ROUND(I17*(1+J17/100),2)</x:f>
        <x:v>252</x:v>
      </x:c>
      <x:c r="L17" s="40" t="n">
        <x:v>4.4</x:v>
      </x:c>
      <x:c r="M17" s="40" t="n">
        <x:v>4.9</x:v>
      </x:c>
      <x:c r="N17" s="40" t="n">
        <x:v>0.2</x:v>
      </x:c>
      <x:c r="O17" s="41" t="n">
        <x:f>K17*L17</x:f>
        <x:v>1108.8000000000002</x:v>
      </x:c>
      <x:c r="P17" s="41" t="n">
        <x:f>K17*M17</x:f>
        <x:v>1234.8000000000002</x:v>
      </x:c>
      <x:c r="Q17" s="41" t="n">
        <x:f>K17*N17</x:f>
        <x:v>50.400000000000006</x:v>
      </x:c>
      <x:c r="R17" s="41" t="n">
        <x:f>SUM(O17:Q17)</x:f>
        <x:v>2394.0000000000005</x:v>
      </x:c>
      <x:c r="S17" s="40" t="n">
        <x:v>0.13</x:v>
      </x:c>
      <x:c r="T17" s="41" t="n">
        <x:f>K17*S17</x:f>
        <x:v>32.76</x:v>
      </x:c>
      <x:c r="U17" t="str">
        <x:v>ALLOWANCE</x:v>
      </x:c>
      <x:c r="V17" t="str"/>
    </x:row>
    <x:row r="18" ht="25" customHeight="1">
      <x:c r="A18" t="str">
        <x:v>Q013</x:v>
      </x:c>
      <x:c r="B18" t="str">
        <x:v>08</x:v>
      </x:c>
      <x:c r="C18" t="str">
        <x:v>Doors &amp; Glazing</x:v>
      </x:c>
      <x:c r="D18" t="str">
        <x:v>Solid core interior door leaf 3x7</x:v>
      </x:c>
      <x:c r="E18" t="str">
        <x:v>PARTITIONS</x:v>
      </x:c>
      <x:c r="F18" t="str">
        <x:v>A-201/D1</x:v>
      </x:c>
      <x:c r="G18" s="26" t="str">
        <x:v>8 doors scheduled</x:v>
      </x:c>
      <x:c r="H18" t="str">
        <x:v>EA</x:v>
      </x:c>
      <x:c r="I18" s="40" t="n">
        <x:f>Inputs!B8</x:f>
        <x:v>8</x:v>
      </x:c>
      <x:c r="J18" s="40" t="n">
        <x:v>0</x:v>
      </x:c>
      <x:c r="K18" s="41" t="n">
        <x:f>ROUND(I18*(1+J18/100),2)</x:f>
        <x:v>8</x:v>
      </x:c>
      <x:c r="L18" s="40" t="n">
        <x:v>390</x:v>
      </x:c>
      <x:c r="M18" s="40" t="n">
        <x:v>200</x:v>
      </x:c>
      <x:c r="N18" s="40" t="n">
        <x:v>15</x:v>
      </x:c>
      <x:c r="O18" s="41" t="n">
        <x:f>K18*L18</x:f>
        <x:v>3120</x:v>
      </x:c>
      <x:c r="P18" s="41" t="n">
        <x:f>K18*M18</x:f>
        <x:v>1600</x:v>
      </x:c>
      <x:c r="Q18" s="41" t="n">
        <x:f>K18*N18</x:f>
        <x:v>120</x:v>
      </x:c>
      <x:c r="R18" s="41" t="n">
        <x:f>SUM(O18:Q18)</x:f>
        <x:v>4840</x:v>
      </x:c>
      <x:c r="S18" s="40" t="n">
        <x:v>4</x:v>
      </x:c>
      <x:c r="T18" s="41" t="n">
        <x:f>K18*S18</x:f>
        <x:v>32</x:v>
      </x:c>
      <x:c r="U18" t="str">
        <x:v>MEASURED</x:v>
      </x:c>
      <x:c r="V18" t="str"/>
    </x:row>
    <x:row r="19" ht="25" customHeight="1">
      <x:c r="A19" t="str">
        <x:v>Q014</x:v>
      </x:c>
      <x:c r="B19" t="str">
        <x:v>08</x:v>
      </x:c>
      <x:c r="C19" t="str">
        <x:v>Doors &amp; Glazing</x:v>
      </x:c>
      <x:c r="D19" t="str">
        <x:v>Hollow metal door frames</x:v>
      </x:c>
      <x:c r="E19" t="str">
        <x:v>PARTITIONS</x:v>
      </x:c>
      <x:c r="F19" t="str">
        <x:v>A-201/D1</x:v>
      </x:c>
      <x:c r="G19" s="26" t="str">
        <x:v>8 door openings</x:v>
      </x:c>
      <x:c r="H19" t="str">
        <x:v>EA</x:v>
      </x:c>
      <x:c r="I19" s="40" t="n">
        <x:f>Inputs!B8</x:f>
        <x:v>8</x:v>
      </x:c>
      <x:c r="J19" s="40" t="n">
        <x:v>0</x:v>
      </x:c>
      <x:c r="K19" s="41" t="n">
        <x:f>ROUND(I19*(1+J19/100),2)</x:f>
        <x:v>8</x:v>
      </x:c>
      <x:c r="L19" s="40" t="n">
        <x:v>270</x:v>
      </x:c>
      <x:c r="M19" s="40" t="n">
        <x:v>165</x:v>
      </x:c>
      <x:c r="N19" s="40" t="n">
        <x:v>10</x:v>
      </x:c>
      <x:c r="O19" s="41" t="n">
        <x:f>K19*L19</x:f>
        <x:v>2160</x:v>
      </x:c>
      <x:c r="P19" s="41" t="n">
        <x:f>K19*M19</x:f>
        <x:v>1320</x:v>
      </x:c>
      <x:c r="Q19" s="41" t="n">
        <x:f>K19*N19</x:f>
        <x:v>80</x:v>
      </x:c>
      <x:c r="R19" s="41" t="n">
        <x:f>SUM(O19:Q19)</x:f>
        <x:v>3560</x:v>
      </x:c>
      <x:c r="S19" s="40" t="n">
        <x:v>3</x:v>
      </x:c>
      <x:c r="T19" s="41" t="n">
        <x:f>K19*S19</x:f>
        <x:v>24</x:v>
      </x:c>
      <x:c r="U19" t="str">
        <x:v>MEASURED</x:v>
      </x:c>
      <x:c r="V19" t="str"/>
    </x:row>
    <x:row r="20" ht="25" customHeight="1">
      <x:c r="A20" t="str">
        <x:v>Q015</x:v>
      </x:c>
      <x:c r="B20" t="str">
        <x:v>08</x:v>
      </x:c>
      <x:c r="C20" t="str">
        <x:v>Doors &amp; Glazing</x:v>
      </x:c>
      <x:c r="D20" t="str">
        <x:v>Hardware/lever set</x:v>
      </x:c>
      <x:c r="E20" t="str">
        <x:v>PARTITIONS</x:v>
      </x:c>
      <x:c r="F20" t="str">
        <x:v>A-201/D1</x:v>
      </x:c>
      <x:c r="G20" s="26" t="str">
        <x:v>8 door sets</x:v>
      </x:c>
      <x:c r="H20" t="str">
        <x:v>SET</x:v>
      </x:c>
      <x:c r="I20" s="40" t="n">
        <x:f>Inputs!B8</x:f>
        <x:v>8</x:v>
      </x:c>
      <x:c r="J20" s="40" t="n">
        <x:v>0</x:v>
      </x:c>
      <x:c r="K20" s="41" t="n">
        <x:f>ROUND(I20*(1+J20/100),2)</x:f>
        <x:v>8</x:v>
      </x:c>
      <x:c r="L20" s="40" t="n">
        <x:v>180</x:v>
      </x:c>
      <x:c r="M20" s="40" t="n">
        <x:v>105</x:v>
      </x:c>
      <x:c r="N20" s="40" t="n">
        <x:v>5</x:v>
      </x:c>
      <x:c r="O20" s="41" t="n">
        <x:f>K20*L20</x:f>
        <x:v>1440</x:v>
      </x:c>
      <x:c r="P20" s="41" t="n">
        <x:f>K20*M20</x:f>
        <x:v>840</x:v>
      </x:c>
      <x:c r="Q20" s="41" t="n">
        <x:f>K20*N20</x:f>
        <x:v>40</x:v>
      </x:c>
      <x:c r="R20" s="41" t="n">
        <x:f>SUM(O20:Q20)</x:f>
        <x:v>2320</x:v>
      </x:c>
      <x:c r="S20" s="40" t="n">
        <x:v>2.1</x:v>
      </x:c>
      <x:c r="T20" s="41" t="n">
        <x:f>K20*S20</x:f>
        <x:v>16.8</x:v>
      </x:c>
      <x:c r="U20" t="str">
        <x:v>MEASURED</x:v>
      </x:c>
      <x:c r="V20" t="str"/>
    </x:row>
    <x:row r="21" ht="25" customHeight="1">
      <x:c r="A21" t="str">
        <x:v>Q016</x:v>
      </x:c>
      <x:c r="B21" t="str">
        <x:v>08</x:v>
      </x:c>
      <x:c r="C21" t="str">
        <x:v>Doors &amp; Glazing</x:v>
      </x:c>
      <x:c r="D21" t="str">
        <x:v>Door closers</x:v>
      </x:c>
      <x:c r="E21" t="str">
        <x:v>PARTITIONS</x:v>
      </x:c>
      <x:c r="F21" t="str">
        <x:v>A-201/D1</x:v>
      </x:c>
      <x:c r="G21" s="26" t="str">
        <x:v>8 door sets</x:v>
      </x:c>
      <x:c r="H21" t="str">
        <x:v>EA</x:v>
      </x:c>
      <x:c r="I21" s="40" t="n">
        <x:f>Inputs!B8</x:f>
        <x:v>8</x:v>
      </x:c>
      <x:c r="J21" s="40" t="n">
        <x:v>0</x:v>
      </x:c>
      <x:c r="K21" s="41" t="n">
        <x:f>ROUND(I21*(1+J21/100),2)</x:f>
        <x:v>8</x:v>
      </x:c>
      <x:c r="L21" s="40" t="n">
        <x:v>145</x:v>
      </x:c>
      <x:c r="M21" s="40" t="n">
        <x:v>85</x:v>
      </x:c>
      <x:c r="N21" s="40" t="n">
        <x:v>5</x:v>
      </x:c>
      <x:c r="O21" s="41" t="n">
        <x:f>K21*L21</x:f>
        <x:v>1160</x:v>
      </x:c>
      <x:c r="P21" s="41" t="n">
        <x:f>K21*M21</x:f>
        <x:v>680</x:v>
      </x:c>
      <x:c r="Q21" s="41" t="n">
        <x:f>K21*N21</x:f>
        <x:v>40</x:v>
      </x:c>
      <x:c r="R21" s="41" t="n">
        <x:f>SUM(O21:Q21)</x:f>
        <x:v>1880</x:v>
      </x:c>
      <x:c r="S21" s="40" t="n">
        <x:v>1.7</x:v>
      </x:c>
      <x:c r="T21" s="41" t="n">
        <x:f>K21*S21</x:f>
        <x:v>13.6</x:v>
      </x:c>
      <x:c r="U21" t="str">
        <x:v>MEASURED</x:v>
      </x:c>
      <x:c r="V21" t="str"/>
    </x:row>
    <x:row r="22" ht="25" customHeight="1">
      <x:c r="A22" t="str">
        <x:v>Q017</x:v>
      </x:c>
      <x:c r="B22" t="str">
        <x:v>08</x:v>
      </x:c>
      <x:c r="C22" t="str">
        <x:v>Doors &amp; Glazing</x:v>
      </x:c>
      <x:c r="D22" t="str">
        <x:v>Entry storefront glazing allowance</x:v>
      </x:c>
      <x:c r="E22" t="str">
        <x:v>PERIMETER</x:v>
      </x:c>
      <x:c r="F22" t="str">
        <x:v>A-201/G1</x:v>
      </x:c>
      <x:c r="G22" s="26" t="str">
        <x:v>150 SF opening, conceptual</x:v>
      </x:c>
      <x:c r="H22" t="str">
        <x:v>SF</x:v>
      </x:c>
      <x:c r="I22" s="40" t="n">
        <x:f>Inputs!B12</x:f>
        <x:v>150</x:v>
      </x:c>
      <x:c r="J22" s="40" t="n">
        <x:v>0</x:v>
      </x:c>
      <x:c r="K22" s="41" t="n">
        <x:f>ROUND(I22*(1+J22/100),2)</x:f>
        <x:v>150</x:v>
      </x:c>
      <x:c r="L22" s="40" t="n">
        <x:v>84</x:v>
      </x:c>
      <x:c r="M22" s="40" t="n">
        <x:v>28</x:v>
      </x:c>
      <x:c r="N22" s="40" t="n">
        <x:v>6</x:v>
      </x:c>
      <x:c r="O22" s="41" t="n">
        <x:f>K22*L22</x:f>
        <x:v>12600</x:v>
      </x:c>
      <x:c r="P22" s="41" t="n">
        <x:f>K22*M22</x:f>
        <x:v>4200</x:v>
      </x:c>
      <x:c r="Q22" s="41" t="n">
        <x:f>K22*N22</x:f>
        <x:v>900</x:v>
      </x:c>
      <x:c r="R22" s="41" t="n">
        <x:f>SUM(O22:Q22)</x:f>
        <x:v>17700</x:v>
      </x:c>
      <x:c r="S22" s="40" t="n">
        <x:v>0.32</x:v>
      </x:c>
      <x:c r="T22" s="41" t="n">
        <x:f>K22*S22</x:f>
        <x:v>48</x:v>
      </x:c>
      <x:c r="U22" t="str">
        <x:v>ALLOWANCE</x:v>
      </x:c>
      <x:c r="V22" t="str">
        <x:v>Design/specification required.</x:v>
      </x:c>
    </x:row>
    <x:row r="23" ht="25" customHeight="1">
      <x:c r="A23" t="str">
        <x:v>Q018</x:v>
      </x:c>
      <x:c r="B23" t="str">
        <x:v>09</x:v>
      </x:c>
      <x:c r="C23" t="str">
        <x:v>Drywall &amp; Ceilings</x:v>
      </x:c>
      <x:c r="D23" t="str">
        <x:v>5/8in gypsum board to partition faces</x:v>
      </x:c>
      <x:c r="E23" t="str">
        <x:v>PARTITIONS</x:v>
      </x:c>
      <x:c r="F23" t="str">
        <x:v>A-201/P1</x:v>
      </x:c>
      <x:c r="G23" s="26" t="str">
        <x:v>444LF x10ft x2 less openings both sides</x:v>
      </x:c>
      <x:c r="H23" t="str">
        <x:v>SF</x:v>
      </x:c>
      <x:c r="I23" s="40" t="n">
        <x:f>2*(Inputs!B6*Inputs!B7-Inputs!B8*Inputs!B9*Inputs!B10)</x:f>
        <x:v>8544</x:v>
      </x:c>
      <x:c r="J23" s="40" t="n">
        <x:v>10</x:v>
      </x:c>
      <x:c r="K23" s="41" t="n">
        <x:f>ROUND(I23*(1+J23/100),2)</x:f>
        <x:v>9398.4</x:v>
      </x:c>
      <x:c r="L23" s="40" t="n">
        <x:v>1.25</x:v>
      </x:c>
      <x:c r="M23" s="40" t="n">
        <x:v>2.45</x:v>
      </x:c>
      <x:c r="N23" s="40" t="n">
        <x:v>0.06</x:v>
      </x:c>
      <x:c r="O23" s="41" t="n">
        <x:f>K23*L23</x:f>
        <x:v>11748</x:v>
      </x:c>
      <x:c r="P23" s="41" t="n">
        <x:f>K23*M23</x:f>
        <x:v>23026.08</x:v>
      </x:c>
      <x:c r="Q23" s="41" t="n">
        <x:f>K23*N23</x:f>
        <x:v>563.904</x:v>
      </x:c>
      <x:c r="R23" s="41" t="n">
        <x:f>SUM(O23:Q23)</x:f>
        <x:v>35337.984000000004</x:v>
      </x:c>
      <x:c r="S23" s="40" t="n">
        <x:v>0.065</x:v>
      </x:c>
      <x:c r="T23" s="41" t="n">
        <x:f>K23*S23</x:f>
        <x:v>610.896</x:v>
      </x:c>
      <x:c r="U23" t="str">
        <x:v>MEASURED</x:v>
      </x:c>
      <x:c r="V23" t="str"/>
    </x:row>
    <x:row r="24" ht="25" customHeight="1">
      <x:c r="A24" t="str">
        <x:v>Q019</x:v>
      </x:c>
      <x:c r="B24" t="str">
        <x:v>09</x:v>
      </x:c>
      <x:c r="C24" t="str">
        <x:v>Drywall &amp; Ceilings</x:v>
      </x:c>
      <x:c r="D24" t="str">
        <x:v>5/8in gypsum board to perimeter inside</x:v>
      </x:c>
      <x:c r="E24" t="str">
        <x:v>PERIMETER</x:v>
      </x:c>
      <x:c r="F24" t="str">
        <x:v>A-201/E1</x:v>
      </x:c>
      <x:c r="G24" s="26" t="str">
        <x:v>400 LF x10ft less storefront 150SF</x:v>
      </x:c>
      <x:c r="H24" t="str">
        <x:v>SF</x:v>
      </x:c>
      <x:c r="I24" s="40" t="n">
        <x:f>Inputs!B11*Inputs!B7-Inputs!B12</x:f>
        <x:v>3850</x:v>
      </x:c>
      <x:c r="J24" s="40" t="n">
        <x:v>10</x:v>
      </x:c>
      <x:c r="K24" s="41" t="n">
        <x:f>ROUND(I24*(1+J24/100),2)</x:f>
        <x:v>4235</x:v>
      </x:c>
      <x:c r="L24" s="40" t="n">
        <x:v>1.25</x:v>
      </x:c>
      <x:c r="M24" s="40" t="n">
        <x:v>2.45</x:v>
      </x:c>
      <x:c r="N24" s="40" t="n">
        <x:v>0.06</x:v>
      </x:c>
      <x:c r="O24" s="41" t="n">
        <x:f>K24*L24</x:f>
        <x:v>5293.75</x:v>
      </x:c>
      <x:c r="P24" s="41" t="n">
        <x:f>K24*M24</x:f>
        <x:v>10375.75</x:v>
      </x:c>
      <x:c r="Q24" s="41" t="n">
        <x:f>K24*N24</x:f>
        <x:v>254.1</x:v>
      </x:c>
      <x:c r="R24" s="41" t="n">
        <x:f>SUM(O24:Q24)</x:f>
        <x:v>15923.6</x:v>
      </x:c>
      <x:c r="S24" s="40" t="n">
        <x:v>0.065</x:v>
      </x:c>
      <x:c r="T24" s="41" t="n">
        <x:f>K24*S24</x:f>
        <x:v>275.27500000000003</x:v>
      </x:c>
      <x:c r="U24" t="str">
        <x:v>MEASURED</x:v>
      </x:c>
      <x:c r="V24" t="str"/>
    </x:row>
    <x:row r="25" ht="25" customHeight="1">
      <x:c r="A25" t="str">
        <x:v>Q020</x:v>
      </x:c>
      <x:c r="B25" t="str">
        <x:v>09</x:v>
      </x:c>
      <x:c r="C25" t="str">
        <x:v>Drywall &amp; Ceilings</x:v>
      </x:c>
      <x:c r="D25" t="str">
        <x:v>Gypsum hard-lid ceilings</x:v>
      </x:c>
      <x:c r="E25" t="str">
        <x:v>Z07 / Z08</x:v>
      </x:c>
      <x:c r="F25" t="str">
        <x:v>A-102/C2</x:v>
      </x:c>
      <x:c r="G25" s="26" t="str">
        <x:v>Two zones x 816SF</x:v>
      </x:c>
      <x:c r="H25" t="str">
        <x:v>SF</x:v>
      </x:c>
      <x:c r="I25" s="40" t="n">
        <x:f>'Zone Schedule'!E12+'Zone Schedule'!E13</x:f>
        <x:v>1632</x:v>
      </x:c>
      <x:c r="J25" s="40" t="n">
        <x:v>10</x:v>
      </x:c>
      <x:c r="K25" s="41" t="n">
        <x:f>ROUND(I25*(1+J25/100),2)</x:f>
        <x:v>1795.2</x:v>
      </x:c>
      <x:c r="L25" s="40" t="n">
        <x:v>1.8</x:v>
      </x:c>
      <x:c r="M25" s="40" t="n">
        <x:v>3.65</x:v>
      </x:c>
      <x:c r="N25" s="40" t="n">
        <x:v>0.09</x:v>
      </x:c>
      <x:c r="O25" s="41" t="n">
        <x:f>K25*L25</x:f>
        <x:v>3231.36</x:v>
      </x:c>
      <x:c r="P25" s="41" t="n">
        <x:f>K25*M25</x:f>
        <x:v>6552.48</x:v>
      </x:c>
      <x:c r="Q25" s="41" t="n">
        <x:f>K25*N25</x:f>
        <x:v>161.568</x:v>
      </x:c>
      <x:c r="R25" s="41" t="n">
        <x:f>SUM(O25:Q25)</x:f>
        <x:v>9945.408</x:v>
      </x:c>
      <x:c r="S25" s="40" t="n">
        <x:v>0.09</x:v>
      </x:c>
      <x:c r="T25" s="41" t="n">
        <x:f>K25*S25</x:f>
        <x:v>161.568</x:v>
      </x:c>
      <x:c r="U25" t="str">
        <x:v>MEASURED</x:v>
      </x:c>
      <x:c r="V25" t="str"/>
    </x:row>
    <x:row r="26" ht="25" customHeight="1">
      <x:c r="A26" t="str">
        <x:v>Q021</x:v>
      </x:c>
      <x:c r="B26" t="str">
        <x:v>09</x:v>
      </x:c>
      <x:c r="C26" t="str">
        <x:v>Drywall &amp; Ceilings</x:v>
      </x:c>
      <x:c r="D26" t="str">
        <x:v>Joint treatment Level 4 finish</x:v>
      </x:c>
      <x:c r="E26" t="str">
        <x:v>WALLS/CEILING</x:v>
      </x:c>
      <x:c r="F26" t="str">
        <x:v>A-201 + A-102</x:v>
      </x:c>
      <x:c r="G26" s="26" t="str">
        <x:v>All 14,026 SF gypsum surfaces</x:v>
      </x:c>
      <x:c r="H26" t="str">
        <x:v>SF</x:v>
      </x:c>
      <x:c r="I26" s="40" t="n">
        <x:f>2*(Inputs!B6*Inputs!B7-Inputs!B8*Inputs!B9*Inputs!B10)+(Inputs!B11*Inputs!B7-Inputs!B12)+'Zone Schedule'!E12+'Zone Schedule'!E13</x:f>
        <x:v>14026</x:v>
      </x:c>
      <x:c r="J26" s="40" t="n">
        <x:v>0</x:v>
      </x:c>
      <x:c r="K26" s="41" t="n">
        <x:f>ROUND(I26*(1+J26/100),2)</x:f>
        <x:v>14026</x:v>
      </x:c>
      <x:c r="L26" s="40" t="n">
        <x:v>0.52</x:v>
      </x:c>
      <x:c r="M26" s="40" t="n">
        <x:v>1.75</x:v>
      </x:c>
      <x:c r="N26" s="40" t="n">
        <x:v>0.04</x:v>
      </x:c>
      <x:c r="O26" s="41" t="n">
        <x:f>K26*L26</x:f>
        <x:v>7293.52</x:v>
      </x:c>
      <x:c r="P26" s="41" t="n">
        <x:f>K26*M26</x:f>
        <x:v>24545.5</x:v>
      </x:c>
      <x:c r="Q26" s="41" t="n">
        <x:f>K26*N26</x:f>
        <x:v>561.04</x:v>
      </x:c>
      <x:c r="R26" s="41" t="n">
        <x:f>SUM(O26:Q26)</x:f>
        <x:v>32400.06</x:v>
      </x:c>
      <x:c r="S26" s="40" t="n">
        <x:v>0.049</x:v>
      </x:c>
      <x:c r="T26" s="41" t="n">
        <x:f>K26*S26</x:f>
        <x:v>687.274</x:v>
      </x:c>
      <x:c r="U26" t="str">
        <x:v>MEASURED</x:v>
      </x:c>
      <x:c r="V26" t="str"/>
    </x:row>
    <x:row r="27" ht="25" customHeight="1">
      <x:c r="A27" t="str">
        <x:v>Q022</x:v>
      </x:c>
      <x:c r="B27" t="str">
        <x:v>09</x:v>
      </x:c>
      <x:c r="C27" t="str">
        <x:v>Acoustical Ceilings</x:v>
      </x:c>
      <x:c r="D27" t="str">
        <x:v>ACT ceiling tile modules</x:v>
      </x:c>
      <x:c r="E27" t="str">
        <x:v>ACT ZONES</x:v>
      </x:c>
      <x:c r="F27" t="str">
        <x:v>A-102/C1</x:v>
      </x:c>
      <x:c r="G27" s="26" t="str">
        <x:v>All ACT rooms including corridor</x:v>
      </x:c>
      <x:c r="H27" t="str">
        <x:v>SF</x:v>
      </x:c>
      <x:c r="I27" s="40" t="n">
        <x:f>SUM('Zone Schedule'!E6:E14)-'Zone Schedule'!E12-'Zone Schedule'!E13</x:f>
        <x:v>7968</x:v>
      </x:c>
      <x:c r="J27" s="40" t="n">
        <x:v>5</x:v>
      </x:c>
      <x:c r="K27" s="41" t="n">
        <x:f>ROUND(I27*(1+J27/100),2)</x:f>
        <x:v>8366.4</x:v>
      </x:c>
      <x:c r="L27" s="40" t="n">
        <x:v>2.95</x:v>
      </x:c>
      <x:c r="M27" s="40" t="n">
        <x:v>2.1</x:v>
      </x:c>
      <x:c r="N27" s="40" t="n">
        <x:v>0.13</x:v>
      </x:c>
      <x:c r="O27" s="41" t="n">
        <x:f>K27*L27</x:f>
        <x:v>24680.88</x:v>
      </x:c>
      <x:c r="P27" s="41" t="n">
        <x:f>K27*M27</x:f>
        <x:v>17569.44</x:v>
      </x:c>
      <x:c r="Q27" s="41" t="n">
        <x:f>K27*N27</x:f>
        <x:v>1087.632</x:v>
      </x:c>
      <x:c r="R27" s="41" t="n">
        <x:f>SUM(O27:Q27)</x:f>
        <x:v>43337.952</x:v>
      </x:c>
      <x:c r="S27" s="40" t="n">
        <x:v>0.062</x:v>
      </x:c>
      <x:c r="T27" s="41" t="n">
        <x:f>K27*S27</x:f>
        <x:v>518.7167999999999</x:v>
      </x:c>
      <x:c r="U27" t="str">
        <x:v>MEASURED</x:v>
      </x:c>
      <x:c r="V27" t="str"/>
    </x:row>
    <x:row r="28" ht="25" customHeight="1">
      <x:c r="A28" t="str">
        <x:v>Q023</x:v>
      </x:c>
      <x:c r="B28" t="str">
        <x:v>09</x:v>
      </x:c>
      <x:c r="C28" t="str">
        <x:v>Acoustical Ceilings</x:v>
      </x:c>
      <x:c r="D28" t="str">
        <x:v>Suspension grid / hangers</x:v>
      </x:c>
      <x:c r="E28" t="str">
        <x:v>ACT ZONES</x:v>
      </x:c>
      <x:c r="F28" t="str">
        <x:v>A-102/C1</x:v>
      </x:c>
      <x:c r="G28" s="26" t="str">
        <x:v>Same 7,968SF ACT area</x:v>
      </x:c>
      <x:c r="H28" t="str">
        <x:v>SF</x:v>
      </x:c>
      <x:c r="I28" s="40" t="n">
        <x:f>SUM('Zone Schedule'!E6:E14)-'Zone Schedule'!E12-'Zone Schedule'!E13</x:f>
        <x:v>7968</x:v>
      </x:c>
      <x:c r="J28" s="40" t="n">
        <x:v>3</x:v>
      </x:c>
      <x:c r="K28" s="41" t="n">
        <x:f>ROUND(I28*(1+J28/100),2)</x:f>
        <x:v>8207.04</x:v>
      </x:c>
      <x:c r="L28" s="40" t="n">
        <x:v>2.3</x:v>
      </x:c>
      <x:c r="M28" s="40" t="n">
        <x:v>1.85</x:v>
      </x:c>
      <x:c r="N28" s="40" t="n">
        <x:v>0.22</x:v>
      </x:c>
      <x:c r="O28" s="41" t="n">
        <x:f>K28*L28</x:f>
        <x:v>18876.192</x:v>
      </x:c>
      <x:c r="P28" s="41" t="n">
        <x:f>K28*M28</x:f>
        <x:v>15183.024000000003</x:v>
      </x:c>
      <x:c r="Q28" s="41" t="n">
        <x:f>K28*N28</x:f>
        <x:v>1805.5488000000003</x:v>
      </x:c>
      <x:c r="R28" s="41" t="n">
        <x:f>SUM(O28:Q28)</x:f>
        <x:v>35864.7648</x:v>
      </x:c>
      <x:c r="S28" s="40" t="n">
        <x:v>0.058</x:v>
      </x:c>
      <x:c r="T28" s="41" t="n">
        <x:f>K28*S28</x:f>
        <x:v>476.0083200000001</x:v>
      </x:c>
      <x:c r="U28" t="str">
        <x:v>MEASURED</x:v>
      </x:c>
      <x:c r="V28" t="str"/>
    </x:row>
    <x:row r="29" ht="25" customHeight="1">
      <x:c r="A29" t="str">
        <x:v>Q024</x:v>
      </x:c>
      <x:c r="B29" t="str">
        <x:v>09</x:v>
      </x:c>
      <x:c r="C29" t="str">
        <x:v>Acoustical Ceilings</x:v>
      </x:c>
      <x:c r="D29" t="str">
        <x:v>Wall angle / ceiling perimeter trim</x:v>
      </x:c>
      <x:c r="E29" t="str">
        <x:v>ACT ZONES</x:v>
      </x:c>
      <x:c r="F29" t="str">
        <x:v>A-102/C1</x:v>
      </x:c>
      <x:c r="G29" s="26" t="str">
        <x:v>ACT zone gross perimeters</x:v>
      </x:c>
      <x:c r="H29" t="str">
        <x:v>LF</x:v>
      </x:c>
      <x:c r="I29" s="40" t="n">
        <x:f>Inputs!B45</x:f>
        <x:v>1056</x:v>
      </x:c>
      <x:c r="J29" s="40" t="n">
        <x:v>5</x:v>
      </x:c>
      <x:c r="K29" s="41" t="n">
        <x:f>ROUND(I29*(1+J29/100),2)</x:f>
        <x:v>1108.8</x:v>
      </x:c>
      <x:c r="L29" s="40" t="n">
        <x:v>1.4</x:v>
      </x:c>
      <x:c r="M29" s="40" t="n">
        <x:v>1.8</x:v>
      </x:c>
      <x:c r="N29" s="40" t="n">
        <x:v>0.05</x:v>
      </x:c>
      <x:c r="O29" s="41" t="n">
        <x:f>K29*L29</x:f>
        <x:v>1552.32</x:v>
      </x:c>
      <x:c r="P29" s="41" t="n">
        <x:f>K29*M29</x:f>
        <x:v>1995.84</x:v>
      </x:c>
      <x:c r="Q29" s="41" t="n">
        <x:f>K29*N29</x:f>
        <x:v>55.44</x:v>
      </x:c>
      <x:c r="R29" s="41" t="n">
        <x:f>SUM(O29:Q29)</x:f>
        <x:v>3603.6</x:v>
      </x:c>
      <x:c r="S29" s="40" t="n">
        <x:v>0.046</x:v>
      </x:c>
      <x:c r="T29" s="41" t="n">
        <x:f>K29*S29</x:f>
        <x:v>51.004799999999996</x:v>
      </x:c>
      <x:c r="U29" t="str">
        <x:v>ALLOWANCE</x:v>
      </x:c>
      <x:c r="V29" t="str">
        <x:v>May need adjustment at shared boundaries.</x:v>
      </x:c>
    </x:row>
    <x:row r="30" ht="25" customHeight="1">
      <x:c r="A30" t="str">
        <x:v>Q025</x:v>
      </x:c>
      <x:c r="B30" t="str">
        <x:v>09</x:v>
      </x:c>
      <x:c r="C30" t="str">
        <x:v>Painting</x:v>
      </x:c>
      <x:c r="D30" t="str">
        <x:v>Prime gypsum walls</x:v>
      </x:c>
      <x:c r="E30" t="str">
        <x:v>WALLS</x:v>
      </x:c>
      <x:c r="F30" t="str">
        <x:v>A-201/P1</x:v>
      </x:c>
      <x:c r="G30" s="26" t="str">
        <x:v>Partition 8544 + perimeter 3850</x:v>
      </x:c>
      <x:c r="H30" t="str">
        <x:v>SF</x:v>
      </x:c>
      <x:c r="I30" s="40" t="n">
        <x:f>2*(Inputs!B6*Inputs!B7-Inputs!B8*Inputs!B9*Inputs!B10)+(Inputs!B11*Inputs!B7-Inputs!B12)</x:f>
        <x:v>12394</x:v>
      </x:c>
      <x:c r="J30" s="40" t="n">
        <x:v>0</x:v>
      </x:c>
      <x:c r="K30" s="41" t="n">
        <x:f>ROUND(I30*(1+J30/100),2)</x:f>
        <x:v>12394</x:v>
      </x:c>
      <x:c r="L30" s="40" t="n">
        <x:v>0.22</x:v>
      </x:c>
      <x:c r="M30" s="40" t="n">
        <x:v>0.38</x:v>
      </x:c>
      <x:c r="N30" s="40" t="n">
        <x:v>0.03</x:v>
      </x:c>
      <x:c r="O30" s="41" t="n">
        <x:f>K30*L30</x:f>
        <x:v>2726.68</x:v>
      </x:c>
      <x:c r="P30" s="41" t="n">
        <x:f>K30*M30</x:f>
        <x:v>4709.72</x:v>
      </x:c>
      <x:c r="Q30" s="41" t="n">
        <x:f>K30*N30</x:f>
        <x:v>371.82</x:v>
      </x:c>
      <x:c r="R30" s="41" t="n">
        <x:f>SUM(O30:Q30)</x:f>
        <x:v>7808.219999999999</x:v>
      </x:c>
      <x:c r="S30" s="40" t="n">
        <x:v>0.015</x:v>
      </x:c>
      <x:c r="T30" s="41" t="n">
        <x:f>K30*S30</x:f>
        <x:v>185.91</x:v>
      </x:c>
      <x:c r="U30" t="str">
        <x:v>MEASURED</x:v>
      </x:c>
      <x:c r="V30" t="str"/>
    </x:row>
    <x:row r="31" ht="25" customHeight="1">
      <x:c r="A31" t="str">
        <x:v>Q026</x:v>
      </x:c>
      <x:c r="B31" t="str">
        <x:v>09</x:v>
      </x:c>
      <x:c r="C31" t="str">
        <x:v>Painting</x:v>
      </x:c>
      <x:c r="D31" t="str">
        <x:v>Wall finish paint 2 coats</x:v>
      </x:c>
      <x:c r="E31" t="str">
        <x:v>WALLS</x:v>
      </x:c>
      <x:c r="F31" t="str">
        <x:v>A-201/P1</x:v>
      </x:c>
      <x:c r="G31" s="26" t="str">
        <x:v>2x 12,394 SF; unit coat-SF</x:v>
      </x:c>
      <x:c r="H31" t="str">
        <x:v>Coat-SF</x:v>
      </x:c>
      <x:c r="I31" s="40" t="n">
        <x:f>2*(2*(Inputs!B6*Inputs!B7-Inputs!B8*Inputs!B9*Inputs!B10)+(Inputs!B11*Inputs!B7-Inputs!B12))</x:f>
        <x:v>24788</x:v>
      </x:c>
      <x:c r="J31" s="40" t="n">
        <x:v>0</x:v>
      </x:c>
      <x:c r="K31" s="41" t="n">
        <x:f>ROUND(I31*(1+J31/100),2)</x:f>
        <x:v>24788</x:v>
      </x:c>
      <x:c r="L31" s="40" t="n">
        <x:v>0.19</x:v>
      </x:c>
      <x:c r="M31" s="40" t="n">
        <x:v>0.3</x:v>
      </x:c>
      <x:c r="N31" s="40" t="n">
        <x:v>0.015</x:v>
      </x:c>
      <x:c r="O31" s="41" t="n">
        <x:f>K31*L31</x:f>
        <x:v>4709.72</x:v>
      </x:c>
      <x:c r="P31" s="41" t="n">
        <x:f>K31*M31</x:f>
        <x:v>7436.4</x:v>
      </x:c>
      <x:c r="Q31" s="41" t="n">
        <x:f>K31*N31</x:f>
        <x:v>371.82</x:v>
      </x:c>
      <x:c r="R31" s="41" t="n">
        <x:f>SUM(O31:Q31)</x:f>
        <x:v>12517.939999999999</x:v>
      </x:c>
      <x:c r="S31" s="40" t="n">
        <x:v>0.012</x:v>
      </x:c>
      <x:c r="T31" s="41" t="n">
        <x:f>K31*S31</x:f>
        <x:v>297.456</x:v>
      </x:c>
      <x:c r="U31" t="str">
        <x:v>MEASURED</x:v>
      </x:c>
      <x:c r="V31" t="str"/>
    </x:row>
    <x:row r="32" ht="25" customHeight="1">
      <x:c r="A32" t="str">
        <x:v>Q027</x:v>
      </x:c>
      <x:c r="B32" t="str">
        <x:v>09</x:v>
      </x:c>
      <x:c r="C32" t="str">
        <x:v>Painting</x:v>
      </x:c>
      <x:c r="D32" t="str">
        <x:v>Prime gypsum ceilings</x:v>
      </x:c>
      <x:c r="E32" t="str">
        <x:v>Z07 / Z08</x:v>
      </x:c>
      <x:c r="F32" t="str">
        <x:v>A-102/C2</x:v>
      </x:c>
      <x:c r="G32" s="26" t="str">
        <x:v>1,632 SF</x:v>
      </x:c>
      <x:c r="H32" t="str">
        <x:v>SF</x:v>
      </x:c>
      <x:c r="I32" s="40" t="n">
        <x:f>'Zone Schedule'!E12+'Zone Schedule'!E13</x:f>
        <x:v>1632</x:v>
      </x:c>
      <x:c r="J32" s="40" t="n">
        <x:v>0</x:v>
      </x:c>
      <x:c r="K32" s="41" t="n">
        <x:f>ROUND(I32*(1+J32/100),2)</x:f>
        <x:v>1632</x:v>
      </x:c>
      <x:c r="L32" s="40" t="n">
        <x:v>0.23</x:v>
      </x:c>
      <x:c r="M32" s="40" t="n">
        <x:v>0.48</x:v>
      </x:c>
      <x:c r="N32" s="40" t="n">
        <x:v>0.025</x:v>
      </x:c>
      <x:c r="O32" s="41" t="n">
        <x:f>K32*L32</x:f>
        <x:v>375.36</x:v>
      </x:c>
      <x:c r="P32" s="41" t="n">
        <x:f>K32*M32</x:f>
        <x:v>783.36</x:v>
      </x:c>
      <x:c r="Q32" s="41" t="n">
        <x:f>K32*N32</x:f>
        <x:v>40.800000000000004</x:v>
      </x:c>
      <x:c r="R32" s="41" t="n">
        <x:f>SUM(O32:Q32)</x:f>
        <x:v>1199.52</x:v>
      </x:c>
      <x:c r="S32" s="40" t="n">
        <x:v>0.018</x:v>
      </x:c>
      <x:c r="T32" s="41" t="n">
        <x:f>K32*S32</x:f>
        <x:v>29.375999999999998</x:v>
      </x:c>
      <x:c r="U32" t="str">
        <x:v>MEASURED</x:v>
      </x:c>
      <x:c r="V32" t="str"/>
    </x:row>
    <x:row r="33" ht="25" customHeight="1">
      <x:c r="A33" t="str">
        <x:v>Q028</x:v>
      </x:c>
      <x:c r="B33" t="str">
        <x:v>09</x:v>
      </x:c>
      <x:c r="C33" t="str">
        <x:v>Painting</x:v>
      </x:c>
      <x:c r="D33" t="str">
        <x:v>GWB ceiling paint 2 coats</x:v>
      </x:c>
      <x:c r="E33" t="str">
        <x:v>Z07 / Z08</x:v>
      </x:c>
      <x:c r="F33" t="str">
        <x:v>A-102/C2</x:v>
      </x:c>
      <x:c r="G33" s="26" t="str">
        <x:v>2x 1,632 SF</x:v>
      </x:c>
      <x:c r="H33" t="str">
        <x:v>Coat-SF</x:v>
      </x:c>
      <x:c r="I33" s="40" t="n">
        <x:f>2*('Zone Schedule'!E12+'Zone Schedule'!E13)</x:f>
        <x:v>3264</x:v>
      </x:c>
      <x:c r="J33" s="40" t="n">
        <x:v>0</x:v>
      </x:c>
      <x:c r="K33" s="41" t="n">
        <x:f>ROUND(I33*(1+J33/100),2)</x:f>
        <x:v>3264</x:v>
      </x:c>
      <x:c r="L33" s="40" t="n">
        <x:v>0.2</x:v>
      </x:c>
      <x:c r="M33" s="40" t="n">
        <x:v>0.4</x:v>
      </x:c>
      <x:c r="N33" s="40" t="n">
        <x:v>0.02</x:v>
      </x:c>
      <x:c r="O33" s="41" t="n">
        <x:f>K33*L33</x:f>
        <x:v>652.8000000000001</x:v>
      </x:c>
      <x:c r="P33" s="41" t="n">
        <x:f>K33*M33</x:f>
        <x:v>1305.6000000000001</x:v>
      </x:c>
      <x:c r="Q33" s="41" t="n">
        <x:f>K33*N33</x:f>
        <x:v>65.28</x:v>
      </x:c>
      <x:c r="R33" s="41" t="n">
        <x:f>SUM(O33:Q33)</x:f>
        <x:v>2023.68</x:v>
      </x:c>
      <x:c r="S33" s="40" t="n">
        <x:v>0.018</x:v>
      </x:c>
      <x:c r="T33" s="41" t="n">
        <x:f>K33*S33</x:f>
        <x:v>58.751999999999995</x:v>
      </x:c>
      <x:c r="U33" t="str">
        <x:v>MEASURED</x:v>
      </x:c>
      <x:c r="V33" t="str"/>
    </x:row>
    <x:row r="34" ht="25" customHeight="1">
      <x:c r="A34" t="str">
        <x:v>Q029</x:v>
      </x:c>
      <x:c r="B34" t="str">
        <x:v>09</x:v>
      </x:c>
      <x:c r="C34" t="str">
        <x:v>Floor Finishes</x:v>
      </x:c>
      <x:c r="D34" t="str">
        <x:v>Luxury vinyl tile flooring</x:v>
      </x:c>
      <x:c r="E34" t="str">
        <x:v>Z01</x:v>
      </x:c>
      <x:c r="F34" t="str">
        <x:v>A-101/NW</x:v>
      </x:c>
      <x:c r="G34" s="26" t="str">
        <x:v>Zone rectangle: width x depth</x:v>
      </x:c>
      <x:c r="H34" t="str">
        <x:v>SF</x:v>
      </x:c>
      <x:c r="I34" s="40" t="n">
        <x:f>'Zone Schedule'!E6</x:f>
        <x:v>1224</x:v>
      </x:c>
      <x:c r="J34" s="40" t="n">
        <x:v>7</x:v>
      </x:c>
      <x:c r="K34" s="41" t="n">
        <x:f>ROUND(I34*(1+J34/100),2)</x:f>
        <x:v>1309.68</x:v>
      </x:c>
      <x:c r="L34" s="40" t="n">
        <x:v>3.85</x:v>
      </x:c>
      <x:c r="M34" s="40" t="n">
        <x:v>2.15</x:v>
      </x:c>
      <x:c r="N34" s="40" t="n">
        <x:v>0.16</x:v>
      </x:c>
      <x:c r="O34" s="41" t="n">
        <x:f>K34*L34</x:f>
        <x:v>5042.268</x:v>
      </x:c>
      <x:c r="P34" s="41" t="n">
        <x:f>K34*M34</x:f>
        <x:v>2815.812</x:v>
      </x:c>
      <x:c r="Q34" s="41" t="n">
        <x:f>K34*N34</x:f>
        <x:v>209.54880000000003</x:v>
      </x:c>
      <x:c r="R34" s="41" t="n">
        <x:f>SUM(O34:Q34)</x:f>
        <x:v>8067.6288</x:v>
      </x:c>
      <x:c r="S34" s="40" t="n">
        <x:v>0.075</x:v>
      </x:c>
      <x:c r="T34" s="41" t="n">
        <x:f>K34*S34</x:f>
        <x:v>98.226</x:v>
      </x:c>
      <x:c r="U34" t="str">
        <x:v>MEASURED</x:v>
      </x:c>
      <x:c r="V34" t="str">
        <x:v>Room quantity; finish coded on A-101.</x:v>
      </x:c>
    </x:row>
    <x:row r="35" ht="25" customHeight="1">
      <x:c r="A35" t="str">
        <x:v>Q030</x:v>
      </x:c>
      <x:c r="B35" t="str">
        <x:v>09</x:v>
      </x:c>
      <x:c r="C35" t="str">
        <x:v>Floor Finishes</x:v>
      </x:c>
      <x:c r="D35" t="str">
        <x:v>Modular carpet tile flooring</x:v>
      </x:c>
      <x:c r="E35" t="str">
        <x:v>Z02</x:v>
      </x:c>
      <x:c r="F35" t="str">
        <x:v>A-101/N-C</x:v>
      </x:c>
      <x:c r="G35" s="26" t="str">
        <x:v>Zone rectangle: width x depth</x:v>
      </x:c>
      <x:c r="H35" t="str">
        <x:v>SF</x:v>
      </x:c>
      <x:c r="I35" s="40" t="n">
        <x:f>'Zone Schedule'!E7</x:f>
        <x:v>1224</x:v>
      </x:c>
      <x:c r="J35" s="40" t="n">
        <x:v>8</x:v>
      </x:c>
      <x:c r="K35" s="41" t="n">
        <x:f>ROUND(I35*(1+J35/100),2)</x:f>
        <x:v>1321.92</x:v>
      </x:c>
      <x:c r="L35" s="40" t="n">
        <x:v>2.45</x:v>
      </x:c>
      <x:c r="M35" s="40" t="n">
        <x:v>1.95</x:v>
      </x:c>
      <x:c r="N35" s="40" t="n">
        <x:v>0.12</x:v>
      </x:c>
      <x:c r="O35" s="41" t="n">
        <x:f>K35*L35</x:f>
        <x:v>3238.7040000000006</x:v>
      </x:c>
      <x:c r="P35" s="41" t="n">
        <x:f>K35*M35</x:f>
        <x:v>2577.744</x:v>
      </x:c>
      <x:c r="Q35" s="41" t="n">
        <x:f>K35*N35</x:f>
        <x:v>158.6304</x:v>
      </x:c>
      <x:c r="R35" s="41" t="n">
        <x:f>SUM(O35:Q35)</x:f>
        <x:v>5975.0784</x:v>
      </x:c>
      <x:c r="S35" s="40" t="n">
        <x:v>0.065</x:v>
      </x:c>
      <x:c r="T35" s="41" t="n">
        <x:f>K35*S35</x:f>
        <x:v>85.9248</x:v>
      </x:c>
      <x:c r="U35" t="str">
        <x:v>MEASURED</x:v>
      </x:c>
      <x:c r="V35" t="str">
        <x:v>Room quantity; finish coded on A-101.</x:v>
      </x:c>
    </x:row>
    <x:row r="36" ht="25" customHeight="1">
      <x:c r="A36" t="str">
        <x:v>Q031</x:v>
      </x:c>
      <x:c r="B36" t="str">
        <x:v>09</x:v>
      </x:c>
      <x:c r="C36" t="str">
        <x:v>Floor Finishes</x:v>
      </x:c>
      <x:c r="D36" t="str">
        <x:v>Modular carpet tile flooring</x:v>
      </x:c>
      <x:c r="E36" t="str">
        <x:v>Z03</x:v>
      </x:c>
      <x:c r="F36" t="str">
        <x:v>A-101/N-E</x:v>
      </x:c>
      <x:c r="G36" s="26" t="str">
        <x:v>Zone rectangle: width x depth</x:v>
      </x:c>
      <x:c r="H36" t="str">
        <x:v>SF</x:v>
      </x:c>
      <x:c r="I36" s="40" t="n">
        <x:f>'Zone Schedule'!E8</x:f>
        <x:v>816</x:v>
      </x:c>
      <x:c r="J36" s="40" t="n">
        <x:v>8</x:v>
      </x:c>
      <x:c r="K36" s="41" t="n">
        <x:f>ROUND(I36*(1+J36/100),2)</x:f>
        <x:v>881.28</x:v>
      </x:c>
      <x:c r="L36" s="40" t="n">
        <x:v>2.45</x:v>
      </x:c>
      <x:c r="M36" s="40" t="n">
        <x:v>1.95</x:v>
      </x:c>
      <x:c r="N36" s="40" t="n">
        <x:v>0.12</x:v>
      </x:c>
      <x:c r="O36" s="41" t="n">
        <x:f>K36*L36</x:f>
        <x:v>2159.136</x:v>
      </x:c>
      <x:c r="P36" s="41" t="n">
        <x:f>K36*M36</x:f>
        <x:v>1718.4959999999999</x:v>
      </x:c>
      <x:c r="Q36" s="41" t="n">
        <x:f>K36*N36</x:f>
        <x:v>105.75359999999999</x:v>
      </x:c>
      <x:c r="R36" s="41" t="n">
        <x:f>SUM(O36:Q36)</x:f>
        <x:v>3983.3855999999996</x:v>
      </x:c>
      <x:c r="S36" s="40" t="n">
        <x:v>0.065</x:v>
      </x:c>
      <x:c r="T36" s="41" t="n">
        <x:f>K36*S36</x:f>
        <x:v>57.2832</x:v>
      </x:c>
      <x:c r="U36" t="str">
        <x:v>MEASURED</x:v>
      </x:c>
      <x:c r="V36" t="str">
        <x:v>Room quantity; finish coded on A-101.</x:v>
      </x:c>
    </x:row>
    <x:row r="37" ht="25" customHeight="1">
      <x:c r="A37" t="str">
        <x:v>Q032</x:v>
      </x:c>
      <x:c r="B37" t="str">
        <x:v>09</x:v>
      </x:c>
      <x:c r="C37" t="str">
        <x:v>Floor Finishes</x:v>
      </x:c>
      <x:c r="D37" t="str">
        <x:v>Modular carpet tile flooring</x:v>
      </x:c>
      <x:c r="E37" t="str">
        <x:v>Z04</x:v>
      </x:c>
      <x:c r="F37" t="str">
        <x:v>A-101/NE</x:v>
      </x:c>
      <x:c r="G37" s="26" t="str">
        <x:v>Zone rectangle: width x depth</x:v>
      </x:c>
      <x:c r="H37" t="str">
        <x:v>SF</x:v>
      </x:c>
      <x:c r="I37" s="40" t="n">
        <x:f>'Zone Schedule'!E9</x:f>
        <x:v>816</x:v>
      </x:c>
      <x:c r="J37" s="40" t="n">
        <x:v>8</x:v>
      </x:c>
      <x:c r="K37" s="41" t="n">
        <x:f>ROUND(I37*(1+J37/100),2)</x:f>
        <x:v>881.28</x:v>
      </x:c>
      <x:c r="L37" s="40" t="n">
        <x:v>2.45</x:v>
      </x:c>
      <x:c r="M37" s="40" t="n">
        <x:v>1.95</x:v>
      </x:c>
      <x:c r="N37" s="40" t="n">
        <x:v>0.12</x:v>
      </x:c>
      <x:c r="O37" s="41" t="n">
        <x:f>K37*L37</x:f>
        <x:v>2159.136</x:v>
      </x:c>
      <x:c r="P37" s="41" t="n">
        <x:f>K37*M37</x:f>
        <x:v>1718.4959999999999</x:v>
      </x:c>
      <x:c r="Q37" s="41" t="n">
        <x:f>K37*N37</x:f>
        <x:v>105.75359999999999</x:v>
      </x:c>
      <x:c r="R37" s="41" t="n">
        <x:f>SUM(O37:Q37)</x:f>
        <x:v>3983.3855999999996</x:v>
      </x:c>
      <x:c r="S37" s="40" t="n">
        <x:v>0.065</x:v>
      </x:c>
      <x:c r="T37" s="41" t="n">
        <x:f>K37*S37</x:f>
        <x:v>57.2832</x:v>
      </x:c>
      <x:c r="U37" t="str">
        <x:v>MEASURED</x:v>
      </x:c>
      <x:c r="V37" t="str">
        <x:v>Room quantity; finish coded on A-101.</x:v>
      </x:c>
    </x:row>
    <x:row r="38" ht="25" customHeight="1">
      <x:c r="A38" t="str">
        <x:v>Q033</x:v>
      </x:c>
      <x:c r="B38" t="str">
        <x:v>09</x:v>
      </x:c>
      <x:c r="C38" t="str">
        <x:v>Floor Finishes</x:v>
      </x:c>
      <x:c r="D38" t="str">
        <x:v>Modular carpet tile flooring</x:v>
      </x:c>
      <x:c r="E38" t="str">
        <x:v>Z05</x:v>
      </x:c>
      <x:c r="F38" t="str">
        <x:v>A-101/SW</x:v>
      </x:c>
      <x:c r="G38" s="26" t="str">
        <x:v>Zone rectangle: width x depth</x:v>
      </x:c>
      <x:c r="H38" t="str">
        <x:v>SF</x:v>
      </x:c>
      <x:c r="I38" s="40" t="n">
        <x:f>'Zone Schedule'!E10</x:f>
        <x:v>1224</x:v>
      </x:c>
      <x:c r="J38" s="40" t="n">
        <x:v>8</x:v>
      </x:c>
      <x:c r="K38" s="41" t="n">
        <x:f>ROUND(I38*(1+J38/100),2)</x:f>
        <x:v>1321.92</x:v>
      </x:c>
      <x:c r="L38" s="40" t="n">
        <x:v>2.45</x:v>
      </x:c>
      <x:c r="M38" s="40" t="n">
        <x:v>1.95</x:v>
      </x:c>
      <x:c r="N38" s="40" t="n">
        <x:v>0.12</x:v>
      </x:c>
      <x:c r="O38" s="41" t="n">
        <x:f>K38*L38</x:f>
        <x:v>3238.7040000000006</x:v>
      </x:c>
      <x:c r="P38" s="41" t="n">
        <x:f>K38*M38</x:f>
        <x:v>2577.744</x:v>
      </x:c>
      <x:c r="Q38" s="41" t="n">
        <x:f>K38*N38</x:f>
        <x:v>158.6304</x:v>
      </x:c>
      <x:c r="R38" s="41" t="n">
        <x:f>SUM(O38:Q38)</x:f>
        <x:v>5975.0784</x:v>
      </x:c>
      <x:c r="S38" s="40" t="n">
        <x:v>0.065</x:v>
      </x:c>
      <x:c r="T38" s="41" t="n">
        <x:f>K38*S38</x:f>
        <x:v>85.9248</x:v>
      </x:c>
      <x:c r="U38" t="str">
        <x:v>MEASURED</x:v>
      </x:c>
      <x:c r="V38" t="str">
        <x:v>Room quantity; finish coded on A-101.</x:v>
      </x:c>
    </x:row>
    <x:row r="39" ht="25" customHeight="1">
      <x:c r="A39" t="str">
        <x:v>Q034</x:v>
      </x:c>
      <x:c r="B39" t="str">
        <x:v>09</x:v>
      </x:c>
      <x:c r="C39" t="str">
        <x:v>Floor Finishes</x:v>
      </x:c>
      <x:c r="D39" t="str">
        <x:v>Modular carpet tile flooring</x:v>
      </x:c>
      <x:c r="E39" t="str">
        <x:v>Z06</x:v>
      </x:c>
      <x:c r="F39" t="str">
        <x:v>A-101/S-C</x:v>
      </x:c>
      <x:c r="G39" s="26" t="str">
        <x:v>Zone rectangle: width x depth</x:v>
      </x:c>
      <x:c r="H39" t="str">
        <x:v>SF</x:v>
      </x:c>
      <x:c r="I39" s="40" t="n">
        <x:f>'Zone Schedule'!E11</x:f>
        <x:v>1224</x:v>
      </x:c>
      <x:c r="J39" s="40" t="n">
        <x:v>8</x:v>
      </x:c>
      <x:c r="K39" s="41" t="n">
        <x:f>ROUND(I39*(1+J39/100),2)</x:f>
        <x:v>1321.92</x:v>
      </x:c>
      <x:c r="L39" s="40" t="n">
        <x:v>2.45</x:v>
      </x:c>
      <x:c r="M39" s="40" t="n">
        <x:v>1.95</x:v>
      </x:c>
      <x:c r="N39" s="40" t="n">
        <x:v>0.12</x:v>
      </x:c>
      <x:c r="O39" s="41" t="n">
        <x:f>K39*L39</x:f>
        <x:v>3238.7040000000006</x:v>
      </x:c>
      <x:c r="P39" s="41" t="n">
        <x:f>K39*M39</x:f>
        <x:v>2577.744</x:v>
      </x:c>
      <x:c r="Q39" s="41" t="n">
        <x:f>K39*N39</x:f>
        <x:v>158.6304</x:v>
      </x:c>
      <x:c r="R39" s="41" t="n">
        <x:f>SUM(O39:Q39)</x:f>
        <x:v>5975.0784</x:v>
      </x:c>
      <x:c r="S39" s="40" t="n">
        <x:v>0.065</x:v>
      </x:c>
      <x:c r="T39" s="41" t="n">
        <x:f>K39*S39</x:f>
        <x:v>85.9248</x:v>
      </x:c>
      <x:c r="U39" t="str">
        <x:v>MEASURED</x:v>
      </x:c>
      <x:c r="V39" t="str">
        <x:v>Room quantity; finish coded on A-101.</x:v>
      </x:c>
    </x:row>
    <x:row r="40" ht="25" customHeight="1">
      <x:c r="A40" t="str">
        <x:v>Q035</x:v>
      </x:c>
      <x:c r="B40" t="str">
        <x:v>09</x:v>
      </x:c>
      <x:c r="C40" t="str">
        <x:v>Floor Finishes</x:v>
      </x:c>
      <x:c r="D40" t="str">
        <x:v>Porcelain tile finish</x:v>
      </x:c>
      <x:c r="E40" t="str">
        <x:v>Z07</x:v>
      </x:c>
      <x:c r="F40" t="str">
        <x:v>A-101/S-E</x:v>
      </x:c>
      <x:c r="G40" s="26" t="str">
        <x:v>Zone rectangle: width x depth</x:v>
      </x:c>
      <x:c r="H40" t="str">
        <x:v>SF</x:v>
      </x:c>
      <x:c r="I40" s="40" t="n">
        <x:f>'Zone Schedule'!E12</x:f>
        <x:v>816</x:v>
      </x:c>
      <x:c r="J40" s="40" t="n">
        <x:v>12</x:v>
      </x:c>
      <x:c r="K40" s="41" t="n">
        <x:f>ROUND(I40*(1+J40/100),2)</x:f>
        <x:v>913.92</x:v>
      </x:c>
      <x:c r="L40" s="40" t="n">
        <x:v>5.7</x:v>
      </x:c>
      <x:c r="M40" s="40" t="n">
        <x:v>5.1</x:v>
      </x:c>
      <x:c r="N40" s="40" t="n">
        <x:v>0.55</x:v>
      </x:c>
      <x:c r="O40" s="41" t="n">
        <x:f>K40*L40</x:f>
        <x:v>5209.344</x:v>
      </x:c>
      <x:c r="P40" s="41" t="n">
        <x:f>K40*M40</x:f>
        <x:v>4660.991999999999</x:v>
      </x:c>
      <x:c r="Q40" s="41" t="n">
        <x:f>K40*N40</x:f>
        <x:v>502.656</x:v>
      </x:c>
      <x:c r="R40" s="41" t="n">
        <x:f>SUM(O40:Q40)</x:f>
        <x:v>10372.992</x:v>
      </x:c>
      <x:c r="S40" s="40" t="n">
        <x:v>0.17</x:v>
      </x:c>
      <x:c r="T40" s="41" t="n">
        <x:f>K40*S40</x:f>
        <x:v>155.3664</x:v>
      </x:c>
      <x:c r="U40" t="str">
        <x:v>MEASURED</x:v>
      </x:c>
      <x:c r="V40" t="str">
        <x:v>Room quantity; finish coded on A-101.</x:v>
      </x:c>
    </x:row>
    <x:row r="41" ht="25" customHeight="1">
      <x:c r="A41" t="str">
        <x:v>Q036</x:v>
      </x:c>
      <x:c r="B41" t="str">
        <x:v>09</x:v>
      </x:c>
      <x:c r="C41" t="str">
        <x:v>Floor Finishes</x:v>
      </x:c>
      <x:c r="D41" t="str">
        <x:v>Sealed exposed concrete finish</x:v>
      </x:c>
      <x:c r="E41" t="str">
        <x:v>Z08</x:v>
      </x:c>
      <x:c r="F41" t="str">
        <x:v>A-101/SE</x:v>
      </x:c>
      <x:c r="G41" s="26" t="str">
        <x:v>Zone rectangle: width x depth</x:v>
      </x:c>
      <x:c r="H41" t="str">
        <x:v>SF</x:v>
      </x:c>
      <x:c r="I41" s="40" t="n">
        <x:f>'Zone Schedule'!E13</x:f>
        <x:v>816</x:v>
      </x:c>
      <x:c r="J41" s="40" t="n">
        <x:v>0</x:v>
      </x:c>
      <x:c r="K41" s="41" t="n">
        <x:f>ROUND(I41*(1+J41/100),2)</x:f>
        <x:v>816</x:v>
      </x:c>
      <x:c r="L41" s="40" t="n">
        <x:v>2.35</x:v>
      </x:c>
      <x:c r="M41" s="40" t="n">
        <x:v>2.25</x:v>
      </x:c>
      <x:c r="N41" s="40" t="n">
        <x:v>0.32</x:v>
      </x:c>
      <x:c r="O41" s="41" t="n">
        <x:f>K41*L41</x:f>
        <x:v>1917.6000000000001</x:v>
      </x:c>
      <x:c r="P41" s="41" t="n">
        <x:f>K41*M41</x:f>
        <x:v>1836</x:v>
      </x:c>
      <x:c r="Q41" s="41" t="n">
        <x:f>K41*N41</x:f>
        <x:v>261.12</x:v>
      </x:c>
      <x:c r="R41" s="41" t="n">
        <x:f>SUM(O41:Q41)</x:f>
        <x:v>4014.7200000000003</x:v>
      </x:c>
      <x:c r="S41" s="40" t="n">
        <x:v>0.1</x:v>
      </x:c>
      <x:c r="T41" s="41" t="n">
        <x:f>K41*S41</x:f>
        <x:v>81.60000000000001</x:v>
      </x:c>
      <x:c r="U41" t="str">
        <x:v>MEASURED</x:v>
      </x:c>
      <x:c r="V41" t="str">
        <x:v>Room quantity; finish coded on A-101.</x:v>
      </x:c>
    </x:row>
    <x:row r="42" ht="25" customHeight="1">
      <x:c r="A42" t="str">
        <x:v>Q037</x:v>
      </x:c>
      <x:c r="B42" t="str">
        <x:v>09</x:v>
      </x:c>
      <x:c r="C42" t="str">
        <x:v>Floor Finishes</x:v>
      </x:c>
      <x:c r="D42" t="str">
        <x:v>Luxury vinyl tile flooring</x:v>
      </x:c>
      <x:c r="E42" t="str">
        <x:v>Z09</x:v>
      </x:c>
      <x:c r="F42" t="str">
        <x:v>A-101/C</x:v>
      </x:c>
      <x:c r="G42" s="26" t="str">
        <x:v>Zone rectangle: width x depth</x:v>
      </x:c>
      <x:c r="H42" t="str">
        <x:v>SF</x:v>
      </x:c>
      <x:c r="I42" s="40" t="n">
        <x:f>'Zone Schedule'!E14</x:f>
        <x:v>1440</x:v>
      </x:c>
      <x:c r="J42" s="40" t="n">
        <x:v>7</x:v>
      </x:c>
      <x:c r="K42" s="41" t="n">
        <x:f>ROUND(I42*(1+J42/100),2)</x:f>
        <x:v>1540.8</x:v>
      </x:c>
      <x:c r="L42" s="40" t="n">
        <x:v>3.85</x:v>
      </x:c>
      <x:c r="M42" s="40" t="n">
        <x:v>2.15</x:v>
      </x:c>
      <x:c r="N42" s="40" t="n">
        <x:v>0.16</x:v>
      </x:c>
      <x:c r="O42" s="41" t="n">
        <x:f>K42*L42</x:f>
        <x:v>5932.08</x:v>
      </x:c>
      <x:c r="P42" s="41" t="n">
        <x:f>K42*M42</x:f>
        <x:v>3312.72</x:v>
      </x:c>
      <x:c r="Q42" s="41" t="n">
        <x:f>K42*N42</x:f>
        <x:v>246.528</x:v>
      </x:c>
      <x:c r="R42" s="41" t="n">
        <x:f>SUM(O42:Q42)</x:f>
        <x:v>9491.328</x:v>
      </x:c>
      <x:c r="S42" s="40" t="n">
        <x:v>0.075</x:v>
      </x:c>
      <x:c r="T42" s="41" t="n">
        <x:f>K42*S42</x:f>
        <x:v>115.55999999999999</x:v>
      </x:c>
      <x:c r="U42" t="str">
        <x:v>MEASURED</x:v>
      </x:c>
      <x:c r="V42" t="str">
        <x:v>Room quantity; finish coded on A-101.</x:v>
      </x:c>
    </x:row>
    <x:row r="43" ht="25" customHeight="1">
      <x:c r="A43" t="str">
        <x:v>Q038</x:v>
      </x:c>
      <x:c r="B43" t="str">
        <x:v>09</x:v>
      </x:c>
      <x:c r="C43" t="str">
        <x:v>Resilient / Tile Base</x:v>
      </x:c>
      <x:c r="D43" t="str">
        <x:v>4in resilient wall base</x:v>
      </x:c>
      <x:c r="E43" t="str">
        <x:v>Z01</x:v>
      </x:c>
      <x:c r="F43" t="str">
        <x:v>A-101/NW</x:v>
      </x:c>
      <x:c r="G43" s="26" t="str">
        <x:v>Perimeter less door cuts; corridor two walls</x:v>
      </x:c>
      <x:c r="H43" t="str">
        <x:v>LF</x:v>
      </x:c>
      <x:c r="I43" s="40" t="n">
        <x:f>'Zone Schedule'!H6</x:f>
        <x:v>137</x:v>
      </x:c>
      <x:c r="J43" s="40" t="n">
        <x:v>10</x:v>
      </x:c>
      <x:c r="K43" s="41" t="n">
        <x:f>ROUND(I43*(1+J43/100),2)</x:f>
        <x:v>150.7</x:v>
      </x:c>
      <x:c r="L43" s="40" t="n">
        <x:v>1.4</x:v>
      </x:c>
      <x:c r="M43" s="40" t="n">
        <x:v>1.85</x:v>
      </x:c>
      <x:c r="N43" s="40" t="n">
        <x:v>0.1</x:v>
      </x:c>
      <x:c r="O43" s="41" t="n">
        <x:f>K43*L43</x:f>
        <x:v>210.97999999999996</x:v>
      </x:c>
      <x:c r="P43" s="41" t="n">
        <x:f>K43*M43</x:f>
        <x:v>278.795</x:v>
      </x:c>
      <x:c r="Q43" s="41" t="n">
        <x:f>K43*N43</x:f>
        <x:v>15.07</x:v>
      </x:c>
      <x:c r="R43" s="41" t="n">
        <x:f>SUM(O43:Q43)</x:f>
        <x:v>504.84499999999997</x:v>
      </x:c>
      <x:c r="S43" s="40" t="n">
        <x:v>0.065</x:v>
      </x:c>
      <x:c r="T43" s="41" t="n">
        <x:f>K43*S43</x:f>
        <x:v>9.795499999999999</x:v>
      </x:c>
      <x:c r="U43" t="str">
        <x:v>MEASURED</x:v>
      </x:c>
      <x:c r="V43" t="str"/>
    </x:row>
    <x:row r="44" ht="25" customHeight="1">
      <x:c r="A44" t="str">
        <x:v>Q039</x:v>
      </x:c>
      <x:c r="B44" t="str">
        <x:v>09</x:v>
      </x:c>
      <x:c r="C44" t="str">
        <x:v>Resilient / Tile Base</x:v>
      </x:c>
      <x:c r="D44" t="str">
        <x:v>4in resilient wall base</x:v>
      </x:c>
      <x:c r="E44" t="str">
        <x:v>Z02</x:v>
      </x:c>
      <x:c r="F44" t="str">
        <x:v>A-101/N-C</x:v>
      </x:c>
      <x:c r="G44" s="26" t="str">
        <x:v>Perimeter less door cuts; corridor two walls</x:v>
      </x:c>
      <x:c r="H44" t="str">
        <x:v>LF</x:v>
      </x:c>
      <x:c r="I44" s="40" t="n">
        <x:f>'Zone Schedule'!H7</x:f>
        <x:v>137</x:v>
      </x:c>
      <x:c r="J44" s="40" t="n">
        <x:v>10</x:v>
      </x:c>
      <x:c r="K44" s="41" t="n">
        <x:f>ROUND(I44*(1+J44/100),2)</x:f>
        <x:v>150.7</x:v>
      </x:c>
      <x:c r="L44" s="40" t="n">
        <x:v>1.4</x:v>
      </x:c>
      <x:c r="M44" s="40" t="n">
        <x:v>1.85</x:v>
      </x:c>
      <x:c r="N44" s="40" t="n">
        <x:v>0.1</x:v>
      </x:c>
      <x:c r="O44" s="41" t="n">
        <x:f>K44*L44</x:f>
        <x:v>210.97999999999996</x:v>
      </x:c>
      <x:c r="P44" s="41" t="n">
        <x:f>K44*M44</x:f>
        <x:v>278.795</x:v>
      </x:c>
      <x:c r="Q44" s="41" t="n">
        <x:f>K44*N44</x:f>
        <x:v>15.07</x:v>
      </x:c>
      <x:c r="R44" s="41" t="n">
        <x:f>SUM(O44:Q44)</x:f>
        <x:v>504.84499999999997</x:v>
      </x:c>
      <x:c r="S44" s="40" t="n">
        <x:v>0.065</x:v>
      </x:c>
      <x:c r="T44" s="41" t="n">
        <x:f>K44*S44</x:f>
        <x:v>9.795499999999999</x:v>
      </x:c>
      <x:c r="U44" t="str">
        <x:v>MEASURED</x:v>
      </x:c>
      <x:c r="V44" t="str"/>
    </x:row>
    <x:row r="45" ht="25" customHeight="1">
      <x:c r="A45" t="str">
        <x:v>Q040</x:v>
      </x:c>
      <x:c r="B45" t="str">
        <x:v>09</x:v>
      </x:c>
      <x:c r="C45" t="str">
        <x:v>Resilient / Tile Base</x:v>
      </x:c>
      <x:c r="D45" t="str">
        <x:v>4in resilient wall base</x:v>
      </x:c>
      <x:c r="E45" t="str">
        <x:v>Z03</x:v>
      </x:c>
      <x:c r="F45" t="str">
        <x:v>A-101/N-E</x:v>
      </x:c>
      <x:c r="G45" s="26" t="str">
        <x:v>Perimeter less door cuts; corridor two walls</x:v>
      </x:c>
      <x:c r="H45" t="str">
        <x:v>LF</x:v>
      </x:c>
      <x:c r="I45" s="40" t="n">
        <x:f>'Zone Schedule'!H8</x:f>
        <x:v>113</x:v>
      </x:c>
      <x:c r="J45" s="40" t="n">
        <x:v>10</x:v>
      </x:c>
      <x:c r="K45" s="41" t="n">
        <x:f>ROUND(I45*(1+J45/100),2)</x:f>
        <x:v>124.3</x:v>
      </x:c>
      <x:c r="L45" s="40" t="n">
        <x:v>1.4</x:v>
      </x:c>
      <x:c r="M45" s="40" t="n">
        <x:v>1.85</x:v>
      </x:c>
      <x:c r="N45" s="40" t="n">
        <x:v>0.1</x:v>
      </x:c>
      <x:c r="O45" s="41" t="n">
        <x:f>K45*L45</x:f>
        <x:v>174.01999999999998</x:v>
      </x:c>
      <x:c r="P45" s="41" t="n">
        <x:f>K45*M45</x:f>
        <x:v>229.955</x:v>
      </x:c>
      <x:c r="Q45" s="41" t="n">
        <x:f>K45*N45</x:f>
        <x:v>12.43</x:v>
      </x:c>
      <x:c r="R45" s="41" t="n">
        <x:f>SUM(O45:Q45)</x:f>
        <x:v>416.40500000000003</x:v>
      </x:c>
      <x:c r="S45" s="40" t="n">
        <x:v>0.065</x:v>
      </x:c>
      <x:c r="T45" s="41" t="n">
        <x:f>K45*S45</x:f>
        <x:v>8.0795</x:v>
      </x:c>
      <x:c r="U45" t="str">
        <x:v>MEASURED</x:v>
      </x:c>
      <x:c r="V45" t="str"/>
    </x:row>
    <x:row r="46" ht="25" customHeight="1">
      <x:c r="A46" t="str">
        <x:v>Q041</x:v>
      </x:c>
      <x:c r="B46" t="str">
        <x:v>09</x:v>
      </x:c>
      <x:c r="C46" t="str">
        <x:v>Resilient / Tile Base</x:v>
      </x:c>
      <x:c r="D46" t="str">
        <x:v>4in resilient wall base</x:v>
      </x:c>
      <x:c r="E46" t="str">
        <x:v>Z04</x:v>
      </x:c>
      <x:c r="F46" t="str">
        <x:v>A-101/NE</x:v>
      </x:c>
      <x:c r="G46" s="26" t="str">
        <x:v>Perimeter less door cuts; corridor two walls</x:v>
      </x:c>
      <x:c r="H46" t="str">
        <x:v>LF</x:v>
      </x:c>
      <x:c r="I46" s="40" t="n">
        <x:f>'Zone Schedule'!H9</x:f>
        <x:v>113</x:v>
      </x:c>
      <x:c r="J46" s="40" t="n">
        <x:v>10</x:v>
      </x:c>
      <x:c r="K46" s="41" t="n">
        <x:f>ROUND(I46*(1+J46/100),2)</x:f>
        <x:v>124.3</x:v>
      </x:c>
      <x:c r="L46" s="40" t="n">
        <x:v>1.4</x:v>
      </x:c>
      <x:c r="M46" s="40" t="n">
        <x:v>1.85</x:v>
      </x:c>
      <x:c r="N46" s="40" t="n">
        <x:v>0.1</x:v>
      </x:c>
      <x:c r="O46" s="41" t="n">
        <x:f>K46*L46</x:f>
        <x:v>174.01999999999998</x:v>
      </x:c>
      <x:c r="P46" s="41" t="n">
        <x:f>K46*M46</x:f>
        <x:v>229.955</x:v>
      </x:c>
      <x:c r="Q46" s="41" t="n">
        <x:f>K46*N46</x:f>
        <x:v>12.43</x:v>
      </x:c>
      <x:c r="R46" s="41" t="n">
        <x:f>SUM(O46:Q46)</x:f>
        <x:v>416.40500000000003</x:v>
      </x:c>
      <x:c r="S46" s="40" t="n">
        <x:v>0.065</x:v>
      </x:c>
      <x:c r="T46" s="41" t="n">
        <x:f>K46*S46</x:f>
        <x:v>8.0795</x:v>
      </x:c>
      <x:c r="U46" t="str">
        <x:v>MEASURED</x:v>
      </x:c>
      <x:c r="V46" t="str"/>
    </x:row>
    <x:row r="47" ht="25" customHeight="1">
      <x:c r="A47" t="str">
        <x:v>Q042</x:v>
      </x:c>
      <x:c r="B47" t="str">
        <x:v>09</x:v>
      </x:c>
      <x:c r="C47" t="str">
        <x:v>Resilient / Tile Base</x:v>
      </x:c>
      <x:c r="D47" t="str">
        <x:v>4in resilient wall base</x:v>
      </x:c>
      <x:c r="E47" t="str">
        <x:v>Z05</x:v>
      </x:c>
      <x:c r="F47" t="str">
        <x:v>A-101/SW</x:v>
      </x:c>
      <x:c r="G47" s="26" t="str">
        <x:v>Perimeter less door cuts; corridor two walls</x:v>
      </x:c>
      <x:c r="H47" t="str">
        <x:v>LF</x:v>
      </x:c>
      <x:c r="I47" s="40" t="n">
        <x:f>'Zone Schedule'!H10</x:f>
        <x:v>137</x:v>
      </x:c>
      <x:c r="J47" s="40" t="n">
        <x:v>10</x:v>
      </x:c>
      <x:c r="K47" s="41" t="n">
        <x:f>ROUND(I47*(1+J47/100),2)</x:f>
        <x:v>150.7</x:v>
      </x:c>
      <x:c r="L47" s="40" t="n">
        <x:v>1.4</x:v>
      </x:c>
      <x:c r="M47" s="40" t="n">
        <x:v>1.85</x:v>
      </x:c>
      <x:c r="N47" s="40" t="n">
        <x:v>0.1</x:v>
      </x:c>
      <x:c r="O47" s="41" t="n">
        <x:f>K47*L47</x:f>
        <x:v>210.97999999999996</x:v>
      </x:c>
      <x:c r="P47" s="41" t="n">
        <x:f>K47*M47</x:f>
        <x:v>278.795</x:v>
      </x:c>
      <x:c r="Q47" s="41" t="n">
        <x:f>K47*N47</x:f>
        <x:v>15.07</x:v>
      </x:c>
      <x:c r="R47" s="41" t="n">
        <x:f>SUM(O47:Q47)</x:f>
        <x:v>504.84499999999997</x:v>
      </x:c>
      <x:c r="S47" s="40" t="n">
        <x:v>0.065</x:v>
      </x:c>
      <x:c r="T47" s="41" t="n">
        <x:f>K47*S47</x:f>
        <x:v>9.795499999999999</x:v>
      </x:c>
      <x:c r="U47" t="str">
        <x:v>MEASURED</x:v>
      </x:c>
      <x:c r="V47" t="str"/>
    </x:row>
    <x:row r="48" ht="25" customHeight="1">
      <x:c r="A48" t="str">
        <x:v>Q043</x:v>
      </x:c>
      <x:c r="B48" t="str">
        <x:v>09</x:v>
      </x:c>
      <x:c r="C48" t="str">
        <x:v>Resilient / Tile Base</x:v>
      </x:c>
      <x:c r="D48" t="str">
        <x:v>4in resilient wall base</x:v>
      </x:c>
      <x:c r="E48" t="str">
        <x:v>Z06</x:v>
      </x:c>
      <x:c r="F48" t="str">
        <x:v>A-101/S-C</x:v>
      </x:c>
      <x:c r="G48" s="26" t="str">
        <x:v>Perimeter less door cuts; corridor two walls</x:v>
      </x:c>
      <x:c r="H48" t="str">
        <x:v>LF</x:v>
      </x:c>
      <x:c r="I48" s="40" t="n">
        <x:f>'Zone Schedule'!H11</x:f>
        <x:v>137</x:v>
      </x:c>
      <x:c r="J48" s="40" t="n">
        <x:v>10</x:v>
      </x:c>
      <x:c r="K48" s="41" t="n">
        <x:f>ROUND(I48*(1+J48/100),2)</x:f>
        <x:v>150.7</x:v>
      </x:c>
      <x:c r="L48" s="40" t="n">
        <x:v>1.4</x:v>
      </x:c>
      <x:c r="M48" s="40" t="n">
        <x:v>1.85</x:v>
      </x:c>
      <x:c r="N48" s="40" t="n">
        <x:v>0.1</x:v>
      </x:c>
      <x:c r="O48" s="41" t="n">
        <x:f>K48*L48</x:f>
        <x:v>210.97999999999996</x:v>
      </x:c>
      <x:c r="P48" s="41" t="n">
        <x:f>K48*M48</x:f>
        <x:v>278.795</x:v>
      </x:c>
      <x:c r="Q48" s="41" t="n">
        <x:f>K48*N48</x:f>
        <x:v>15.07</x:v>
      </x:c>
      <x:c r="R48" s="41" t="n">
        <x:f>SUM(O48:Q48)</x:f>
        <x:v>504.84499999999997</x:v>
      </x:c>
      <x:c r="S48" s="40" t="n">
        <x:v>0.065</x:v>
      </x:c>
      <x:c r="T48" s="41" t="n">
        <x:f>K48*S48</x:f>
        <x:v>9.795499999999999</x:v>
      </x:c>
      <x:c r="U48" t="str">
        <x:v>MEASURED</x:v>
      </x:c>
      <x:c r="V48" t="str"/>
    </x:row>
    <x:row r="49" ht="25" customHeight="1">
      <x:c r="A49" t="str">
        <x:v>Q044</x:v>
      </x:c>
      <x:c r="B49" t="str">
        <x:v>09</x:v>
      </x:c>
      <x:c r="C49" t="str">
        <x:v>Resilient / Tile Base</x:v>
      </x:c>
      <x:c r="D49" t="str">
        <x:v>Tile cove base</x:v>
      </x:c>
      <x:c r="E49" t="str">
        <x:v>Z07</x:v>
      </x:c>
      <x:c r="F49" t="str">
        <x:v>A-101/S-E</x:v>
      </x:c>
      <x:c r="G49" s="26" t="str">
        <x:v>Perimeter less door cuts; corridor two walls</x:v>
      </x:c>
      <x:c r="H49" t="str">
        <x:v>LF</x:v>
      </x:c>
      <x:c r="I49" s="40" t="n">
        <x:f>'Zone Schedule'!H12</x:f>
        <x:v>113</x:v>
      </x:c>
      <x:c r="J49" s="40" t="n">
        <x:v>10</x:v>
      </x:c>
      <x:c r="K49" s="41" t="n">
        <x:f>ROUND(I49*(1+J49/100),2)</x:f>
        <x:v>124.3</x:v>
      </x:c>
      <x:c r="L49" s="40" t="n">
        <x:v>4.7</x:v>
      </x:c>
      <x:c r="M49" s="40" t="n">
        <x:v>4.4</x:v>
      </x:c>
      <x:c r="N49" s="40" t="n">
        <x:v>0.1</x:v>
      </x:c>
      <x:c r="O49" s="41" t="n">
        <x:f>K49*L49</x:f>
        <x:v>584.21</x:v>
      </x:c>
      <x:c r="P49" s="41" t="n">
        <x:f>K49*M49</x:f>
        <x:v>546.9200000000001</x:v>
      </x:c>
      <x:c r="Q49" s="41" t="n">
        <x:f>K49*N49</x:f>
        <x:v>12.43</x:v>
      </x:c>
      <x:c r="R49" s="41" t="n">
        <x:f>SUM(O49:Q49)</x:f>
        <x:v>1143.5600000000002</x:v>
      </x:c>
      <x:c r="S49" s="40" t="n">
        <x:v>0.065</x:v>
      </x:c>
      <x:c r="T49" s="41" t="n">
        <x:f>K49*S49</x:f>
        <x:v>8.0795</x:v>
      </x:c>
      <x:c r="U49" t="str">
        <x:v>MEASURED</x:v>
      </x:c>
      <x:c r="V49" t="str"/>
    </x:row>
    <x:row r="50" ht="25" customHeight="1">
      <x:c r="A50" t="str">
        <x:v>Q045</x:v>
      </x:c>
      <x:c r="B50" t="str">
        <x:v>09</x:v>
      </x:c>
      <x:c r="C50" t="str">
        <x:v>Resilient / Tile Base</x:v>
      </x:c>
      <x:c r="D50" t="str">
        <x:v>4in resilient wall base</x:v>
      </x:c>
      <x:c r="E50" t="str">
        <x:v>Z08</x:v>
      </x:c>
      <x:c r="F50" t="str">
        <x:v>A-101/SE</x:v>
      </x:c>
      <x:c r="G50" s="26" t="str">
        <x:v>Perimeter less door cuts; corridor two walls</x:v>
      </x:c>
      <x:c r="H50" t="str">
        <x:v>LF</x:v>
      </x:c>
      <x:c r="I50" s="40" t="n">
        <x:f>'Zone Schedule'!H13</x:f>
        <x:v>113</x:v>
      </x:c>
      <x:c r="J50" s="40" t="n">
        <x:v>10</x:v>
      </x:c>
      <x:c r="K50" s="41" t="n">
        <x:f>ROUND(I50*(1+J50/100),2)</x:f>
        <x:v>124.3</x:v>
      </x:c>
      <x:c r="L50" s="40" t="n">
        <x:v>1.4</x:v>
      </x:c>
      <x:c r="M50" s="40" t="n">
        <x:v>1.85</x:v>
      </x:c>
      <x:c r="N50" s="40" t="n">
        <x:v>0.1</x:v>
      </x:c>
      <x:c r="O50" s="41" t="n">
        <x:f>K50*L50</x:f>
        <x:v>174.01999999999998</x:v>
      </x:c>
      <x:c r="P50" s="41" t="n">
        <x:f>K50*M50</x:f>
        <x:v>229.955</x:v>
      </x:c>
      <x:c r="Q50" s="41" t="n">
        <x:f>K50*N50</x:f>
        <x:v>12.43</x:v>
      </x:c>
      <x:c r="R50" s="41" t="n">
        <x:f>SUM(O50:Q50)</x:f>
        <x:v>416.40500000000003</x:v>
      </x:c>
      <x:c r="S50" s="40" t="n">
        <x:v>0.065</x:v>
      </x:c>
      <x:c r="T50" s="41" t="n">
        <x:f>K50*S50</x:f>
        <x:v>8.0795</x:v>
      </x:c>
      <x:c r="U50" t="str">
        <x:v>MEASURED</x:v>
      </x:c>
      <x:c r="V50" t="str"/>
    </x:row>
    <x:row r="51" ht="25" customHeight="1">
      <x:c r="A51" t="str">
        <x:v>Q046</x:v>
      </x:c>
      <x:c r="B51" t="str">
        <x:v>09</x:v>
      </x:c>
      <x:c r="C51" t="str">
        <x:v>Resilient / Tile Base</x:v>
      </x:c>
      <x:c r="D51" t="str">
        <x:v>4in resilient wall base</x:v>
      </x:c>
      <x:c r="E51" t="str">
        <x:v>Z09</x:v>
      </x:c>
      <x:c r="F51" t="str">
        <x:v>A-101/C</x:v>
      </x:c>
      <x:c r="G51" s="26" t="str">
        <x:v>Perimeter less door cuts; corridor two walls</x:v>
      </x:c>
      <x:c r="H51" t="str">
        <x:v>LF</x:v>
      </x:c>
      <x:c r="I51" s="40" t="n">
        <x:f>'Zone Schedule'!H14</x:f>
        <x:v>216</x:v>
      </x:c>
      <x:c r="J51" s="40" t="n">
        <x:v>10</x:v>
      </x:c>
      <x:c r="K51" s="41" t="n">
        <x:f>ROUND(I51*(1+J51/100),2)</x:f>
        <x:v>237.6</x:v>
      </x:c>
      <x:c r="L51" s="40" t="n">
        <x:v>1.4</x:v>
      </x:c>
      <x:c r="M51" s="40" t="n">
        <x:v>1.85</x:v>
      </x:c>
      <x:c r="N51" s="40" t="n">
        <x:v>0.1</x:v>
      </x:c>
      <x:c r="O51" s="41" t="n">
        <x:f>K51*L51</x:f>
        <x:v>332.64</x:v>
      </x:c>
      <x:c r="P51" s="41" t="n">
        <x:f>K51*M51</x:f>
        <x:v>439.56</x:v>
      </x:c>
      <x:c r="Q51" s="41" t="n">
        <x:f>K51*N51</x:f>
        <x:v>23.76</x:v>
      </x:c>
      <x:c r="R51" s="41" t="n">
        <x:f>SUM(O51:Q51)</x:f>
        <x:v>795.96</x:v>
      </x:c>
      <x:c r="S51" s="40" t="n">
        <x:v>0.065</x:v>
      </x:c>
      <x:c r="T51" s="41" t="n">
        <x:f>K51*S51</x:f>
        <x:v>15.444</x:v>
      </x:c>
      <x:c r="U51" t="str">
        <x:v>MEASURED</x:v>
      </x:c>
      <x:c r="V51" t="str"/>
    </x:row>
    <x:row r="52" ht="25" customHeight="1">
      <x:c r="A52" t="str">
        <x:v>Q047</x:v>
      </x:c>
      <x:c r="B52" t="str">
        <x:v>09</x:v>
      </x:c>
      <x:c r="C52" t="str">
        <x:v>Floor Accessories</x:v>
      </x:c>
      <x:c r="D52" t="str">
        <x:v>Transitions / reducers at zone thresholds</x:v>
      </x:c>
      <x:c r="E52" t="str">
        <x:v>CORRIDOR</x:v>
      </x:c>
      <x:c r="F52" t="str">
        <x:v>A-101/TH</x:v>
      </x:c>
      <x:c r="G52" s="26" t="str">
        <x:v>8 corridor zone thresholds</x:v>
      </x:c>
      <x:c r="H52" t="str">
        <x:v>EA</x:v>
      </x:c>
      <x:c r="I52" s="40" t="n">
        <x:f>Inputs!B8</x:f>
        <x:v>8</x:v>
      </x:c>
      <x:c r="J52" s="40" t="n">
        <x:v>0</x:v>
      </x:c>
      <x:c r="K52" s="41" t="n">
        <x:f>ROUND(I52*(1+J52/100),2)</x:f>
        <x:v>8</x:v>
      </x:c>
      <x:c r="L52" s="40" t="n">
        <x:v>65</x:v>
      </x:c>
      <x:c r="M52" s="40" t="n">
        <x:v>65</x:v>
      </x:c>
      <x:c r="N52" s="40" t="n">
        <x:v>3</x:v>
      </x:c>
      <x:c r="O52" s="41" t="n">
        <x:f>K52*L52</x:f>
        <x:v>520</x:v>
      </x:c>
      <x:c r="P52" s="41" t="n">
        <x:f>K52*M52</x:f>
        <x:v>520</x:v>
      </x:c>
      <x:c r="Q52" s="41" t="n">
        <x:f>K52*N52</x:f>
        <x:v>24</x:v>
      </x:c>
      <x:c r="R52" s="41" t="n">
        <x:f>SUM(O52:Q52)</x:f>
        <x:v>1064</x:v>
      </x:c>
      <x:c r="S52" s="40" t="n">
        <x:v>1.25</x:v>
      </x:c>
      <x:c r="T52" s="41" t="n">
        <x:f>K52*S52</x:f>
        <x:v>10</x:v>
      </x:c>
      <x:c r="U52" t="str">
        <x:v>MEASURED</x:v>
      </x:c>
      <x:c r="V52" t="str"/>
    </x:row>
    <x:row r="53" ht="25" customHeight="1">
      <x:c r="A53" t="str">
        <x:v>Q048</x:v>
      </x:c>
      <x:c r="B53" t="str">
        <x:v>09</x:v>
      </x:c>
      <x:c r="C53" t="str">
        <x:v>Floor Accessories</x:v>
      </x:c>
      <x:c r="D53" t="str">
        <x:v>LVT adhesive / accessory coverage</x:v>
      </x:c>
      <x:c r="E53" t="str">
        <x:v>Z01 / Z09</x:v>
      </x:c>
      <x:c r="F53" t="str">
        <x:v>A-101/FIN</x:v>
      </x:c>
      <x:c r="G53" s="26" t="str">
        <x:v>2,664 SF LVT</x:v>
      </x:c>
      <x:c r="H53" t="str">
        <x:v>SF</x:v>
      </x:c>
      <x:c r="I53" s="40" t="n">
        <x:f>'Zone Schedule'!E6+'Zone Schedule'!E14</x:f>
        <x:v>2664</x:v>
      </x:c>
      <x:c r="J53" s="40" t="n">
        <x:v>5</x:v>
      </x:c>
      <x:c r="K53" s="41" t="n">
        <x:f>ROUND(I53*(1+J53/100),2)</x:f>
        <x:v>2797.2</x:v>
      </x:c>
      <x:c r="L53" s="40" t="n">
        <x:v>0.72</x:v>
      </x:c>
      <x:c r="M53" s="40" t="n">
        <x:v>0.52</x:v>
      </x:c>
      <x:c r="N53" s="40" t="n">
        <x:v>0.02</x:v>
      </x:c>
      <x:c r="O53" s="41" t="n">
        <x:f>K53*L53</x:f>
        <x:v>2013.9839999999997</x:v>
      </x:c>
      <x:c r="P53" s="41" t="n">
        <x:f>K53*M53</x:f>
        <x:v>1454.5439999999999</x:v>
      </x:c>
      <x:c r="Q53" s="41" t="n">
        <x:f>K53*N53</x:f>
        <x:v>55.943999999999996</x:v>
      </x:c>
      <x:c r="R53" s="41" t="n">
        <x:f>SUM(O53:Q53)</x:f>
        <x:v>3524.4719999999993</x:v>
      </x:c>
      <x:c r="S53" s="40" t="n">
        <x:v>0.017</x:v>
      </x:c>
      <x:c r="T53" s="41" t="n">
        <x:f>K53*S53</x:f>
        <x:v>47.5524</x:v>
      </x:c>
      <x:c r="U53" t="str">
        <x:v>MEASURED</x:v>
      </x:c>
      <x:c r="V53" t="str"/>
    </x:row>
    <x:row r="54" ht="25" customHeight="1">
      <x:c r="A54" t="str">
        <x:v>Q049</x:v>
      </x:c>
      <x:c r="B54" t="str">
        <x:v>09</x:v>
      </x:c>
      <x:c r="C54" t="str">
        <x:v>Floor Accessories</x:v>
      </x:c>
      <x:c r="D54" t="str">
        <x:v>Carpet adhesive / tack layer</x:v>
      </x:c>
      <x:c r="E54" t="str">
        <x:v>Z02/03/04/05/06</x:v>
      </x:c>
      <x:c r="F54" t="str">
        <x:v>A-101/FIN</x:v>
      </x:c>
      <x:c r="G54" s="26" t="str">
        <x:v>5,304 SF carpet</x:v>
      </x:c>
      <x:c r="H54" t="str">
        <x:v>SF</x:v>
      </x:c>
      <x:c r="I54" s="40" t="n">
        <x:f>'Zone Schedule'!E7+'Zone Schedule'!E8+'Zone Schedule'!E9+'Zone Schedule'!E10+'Zone Schedule'!E11</x:f>
        <x:v>5304</x:v>
      </x:c>
      <x:c r="J54" s="40" t="n">
        <x:v>5</x:v>
      </x:c>
      <x:c r="K54" s="41" t="n">
        <x:f>ROUND(I54*(1+J54/100),2)</x:f>
        <x:v>5569.2</x:v>
      </x:c>
      <x:c r="L54" s="40" t="n">
        <x:v>0.65</x:v>
      </x:c>
      <x:c r="M54" s="40" t="n">
        <x:v>0.46</x:v>
      </x:c>
      <x:c r="N54" s="40" t="n">
        <x:v>0.02</x:v>
      </x:c>
      <x:c r="O54" s="41" t="n">
        <x:f>K54*L54</x:f>
        <x:v>3619.98</x:v>
      </x:c>
      <x:c r="P54" s="41" t="n">
        <x:f>K54*M54</x:f>
        <x:v>2561.832</x:v>
      </x:c>
      <x:c r="Q54" s="41" t="n">
        <x:f>K54*N54</x:f>
        <x:v>111.384</x:v>
      </x:c>
      <x:c r="R54" s="41" t="n">
        <x:f>SUM(O54:Q54)</x:f>
        <x:v>6293.196</x:v>
      </x:c>
      <x:c r="S54" s="40" t="n">
        <x:v>0.015</x:v>
      </x:c>
      <x:c r="T54" s="41" t="n">
        <x:f>K54*S54</x:f>
        <x:v>83.538</x:v>
      </x:c>
      <x:c r="U54" t="str">
        <x:v>MEASURED</x:v>
      </x:c>
      <x:c r="V54" t="str"/>
    </x:row>
    <x:row r="55" ht="25" customHeight="1">
      <x:c r="A55" t="str">
        <x:v>Q050</x:v>
      </x:c>
      <x:c r="B55" t="str">
        <x:v>09</x:v>
      </x:c>
      <x:c r="C55" t="str">
        <x:v>Floor Accessories</x:v>
      </x:c>
      <x:c r="D55" t="str">
        <x:v>Porcelain thinset mortar</x:v>
      </x:c>
      <x:c r="E55" t="str">
        <x:v>Z07</x:v>
      </x:c>
      <x:c r="F55" t="str">
        <x:v>A-101/FIN</x:v>
      </x:c>
      <x:c r="G55" s="26" t="str">
        <x:v>816SF tile area</x:v>
      </x:c>
      <x:c r="H55" t="str">
        <x:v>SF</x:v>
      </x:c>
      <x:c r="I55" s="40" t="n">
        <x:f>'Zone Schedule'!E12</x:f>
        <x:v>816</x:v>
      </x:c>
      <x:c r="J55" s="40" t="n">
        <x:v>10</x:v>
      </x:c>
      <x:c r="K55" s="41" t="n">
        <x:f>ROUND(I55*(1+J55/100),2)</x:f>
        <x:v>897.6</x:v>
      </x:c>
      <x:c r="L55" s="40" t="n">
        <x:v>1.55</x:v>
      </x:c>
      <x:c r="M55" s="40" t="n">
        <x:v>2.1</x:v>
      </x:c>
      <x:c r="N55" s="40" t="n">
        <x:v>0.08</x:v>
      </x:c>
      <x:c r="O55" s="41" t="n">
        <x:f>K55*L55</x:f>
        <x:v>1391.28</x:v>
      </x:c>
      <x:c r="P55" s="41" t="n">
        <x:f>K55*M55</x:f>
        <x:v>1884.96</x:v>
      </x:c>
      <x:c r="Q55" s="41" t="n">
        <x:f>K55*N55</x:f>
        <x:v>71.808</x:v>
      </x:c>
      <x:c r="R55" s="41" t="n">
        <x:f>SUM(O55:Q55)</x:f>
        <x:v>3348.048</x:v>
      </x:c>
      <x:c r="S55" s="40" t="n">
        <x:v>0.055</x:v>
      </x:c>
      <x:c r="T55" s="41" t="n">
        <x:f>K55*S55</x:f>
        <x:v>49.368</x:v>
      </x:c>
      <x:c r="U55" t="str">
        <x:v>MEASURED</x:v>
      </x:c>
      <x:c r="V55" t="str"/>
    </x:row>
    <x:row r="56" ht="25" customHeight="1">
      <x:c r="A56" t="str">
        <x:v>Q051</x:v>
      </x:c>
      <x:c r="B56" t="str">
        <x:v>09</x:v>
      </x:c>
      <x:c r="C56" t="str">
        <x:v>Floor Accessories</x:v>
      </x:c>
      <x:c r="D56" t="str">
        <x:v>Tile grout / sealant</x:v>
      </x:c>
      <x:c r="E56" t="str">
        <x:v>Z07</x:v>
      </x:c>
      <x:c r="F56" t="str">
        <x:v>A-101/FIN</x:v>
      </x:c>
      <x:c r="G56" s="26" t="str">
        <x:v>816SF tile area</x:v>
      </x:c>
      <x:c r="H56" t="str">
        <x:v>SF</x:v>
      </x:c>
      <x:c r="I56" s="40" t="n">
        <x:f>'Zone Schedule'!E12</x:f>
        <x:v>816</x:v>
      </x:c>
      <x:c r="J56" s="40" t="n">
        <x:v>10</x:v>
      </x:c>
      <x:c r="K56" s="41" t="n">
        <x:f>ROUND(I56*(1+J56/100),2)</x:f>
        <x:v>897.6</x:v>
      </x:c>
      <x:c r="L56" s="40" t="n">
        <x:v>0.75</x:v>
      </x:c>
      <x:c r="M56" s="40" t="n">
        <x:v>1.35</x:v>
      </x:c>
      <x:c r="N56" s="40" t="n">
        <x:v>0.07</x:v>
      </x:c>
      <x:c r="O56" s="41" t="n">
        <x:f>K56*L56</x:f>
        <x:v>673.2</x:v>
      </x:c>
      <x:c r="P56" s="41" t="n">
        <x:f>K56*M56</x:f>
        <x:v>1211.7600000000002</x:v>
      </x:c>
      <x:c r="Q56" s="41" t="n">
        <x:f>K56*N56</x:f>
        <x:v>62.83200000000001</x:v>
      </x:c>
      <x:c r="R56" s="41" t="n">
        <x:f>SUM(O56:Q56)</x:f>
        <x:v>1947.7920000000004</x:v>
      </x:c>
      <x:c r="S56" s="40" t="n">
        <x:v>0.038</x:v>
      </x:c>
      <x:c r="T56" s="41" t="n">
        <x:f>K56*S56</x:f>
        <x:v>34.1088</x:v>
      </x:c>
      <x:c r="U56" t="str">
        <x:v>MEASURED</x:v>
      </x:c>
      <x:c r="V56" t="str"/>
    </x:row>
    <x:row r="57" ht="25" customHeight="1">
      <x:c r="A57" t="str">
        <x:v>Q052</x:v>
      </x:c>
      <x:c r="B57" t="str">
        <x:v>09</x:v>
      </x:c>
      <x:c r="C57" t="str">
        <x:v>Floor Accessories</x:v>
      </x:c>
      <x:c r="D57" t="str">
        <x:v>Breakroom under-tile membrane</x:v>
      </x:c>
      <x:c r="E57" t="str">
        <x:v>Z07</x:v>
      </x:c>
      <x:c r="F57" t="str">
        <x:v>A-101/FIN</x:v>
      </x:c>
      <x:c r="G57" s="26" t="str">
        <x:v>816SF tile, assumed scope</x:v>
      </x:c>
      <x:c r="H57" t="str">
        <x:v>SF</x:v>
      </x:c>
      <x:c r="I57" s="40" t="n">
        <x:f>'Zone Schedule'!E12</x:f>
        <x:v>816</x:v>
      </x:c>
      <x:c r="J57" s="40" t="n">
        <x:v>8</x:v>
      </x:c>
      <x:c r="K57" s="41" t="n">
        <x:f>ROUND(I57*(1+J57/100),2)</x:f>
        <x:v>881.28</x:v>
      </x:c>
      <x:c r="L57" s="40" t="n">
        <x:v>1.85</x:v>
      </x:c>
      <x:c r="M57" s="40" t="n">
        <x:v>2</x:v>
      </x:c>
      <x:c r="N57" s="40" t="n">
        <x:v>0.1</x:v>
      </x:c>
      <x:c r="O57" s="41" t="n">
        <x:f>K57*L57</x:f>
        <x:v>1630.368</x:v>
      </x:c>
      <x:c r="P57" s="41" t="n">
        <x:f>K57*M57</x:f>
        <x:v>1762.56</x:v>
      </x:c>
      <x:c r="Q57" s="41" t="n">
        <x:f>K57*N57</x:f>
        <x:v>88.128</x:v>
      </x:c>
      <x:c r="R57" s="41" t="n">
        <x:f>SUM(O57:Q57)</x:f>
        <x:v>3481.056</x:v>
      </x:c>
      <x:c r="S57" s="40" t="n">
        <x:v>0.056</x:v>
      </x:c>
      <x:c r="T57" s="41" t="n">
        <x:f>K57*S57</x:f>
        <x:v>49.35168</x:v>
      </x:c>
      <x:c r="U57" t="str">
        <x:v>ALLOWANCE</x:v>
      </x:c>
      <x:c r="V57" t="str"/>
    </x:row>
    <x:row r="58" ht="25" customHeight="1">
      <x:c r="A58" t="str">
        <x:v>Q053</x:v>
      </x:c>
      <x:c r="B58" t="str">
        <x:v>10</x:v>
      </x:c>
      <x:c r="C58" t="str">
        <x:v>Specialties</x:v>
      </x:c>
      <x:c r="D58" t="str">
        <x:v>Wall corner guards</x:v>
      </x:c>
      <x:c r="E58" t="str">
        <x:v>ALL</x:v>
      </x:c>
      <x:c r="F58" t="str">
        <x:v>A-201/SP</x:v>
      </x:c>
      <x:c r="G58" s="26" t="str">
        <x:v>12 guards assumed</x:v>
      </x:c>
      <x:c r="H58" t="str">
        <x:v>EA</x:v>
      </x:c>
      <x:c r="I58" s="40" t="n">
        <x:f>12</x:f>
        <x:v>12</x:v>
      </x:c>
      <x:c r="J58" s="40" t="n">
        <x:v>0</x:v>
      </x:c>
      <x:c r="K58" s="41" t="n">
        <x:f>ROUND(I58*(1+J58/100),2)</x:f>
        <x:v>12</x:v>
      </x:c>
      <x:c r="L58" s="40" t="n">
        <x:v>45</x:v>
      </x:c>
      <x:c r="M58" s="40" t="n">
        <x:v>55</x:v>
      </x:c>
      <x:c r="N58" s="40" t="n">
        <x:v>5</x:v>
      </x:c>
      <x:c r="O58" s="41" t="n">
        <x:f>K58*L58</x:f>
        <x:v>540</x:v>
      </x:c>
      <x:c r="P58" s="41" t="n">
        <x:f>K58*M58</x:f>
        <x:v>660</x:v>
      </x:c>
      <x:c r="Q58" s="41" t="n">
        <x:f>K58*N58</x:f>
        <x:v>60</x:v>
      </x:c>
      <x:c r="R58" s="41" t="n">
        <x:f>SUM(O58:Q58)</x:f>
        <x:v>1260</x:v>
      </x:c>
      <x:c r="S58" s="40" t="n">
        <x:v>1.1</x:v>
      </x:c>
      <x:c r="T58" s="41" t="n">
        <x:f>K58*S58</x:f>
        <x:v>13.200000000000001</x:v>
      </x:c>
      <x:c r="U58" t="str">
        <x:v>ALLOWANCE</x:v>
      </x:c>
      <x:c r="V58" t="str"/>
    </x:row>
    <x:row r="59" ht="25" customHeight="1">
      <x:c r="A59" t="str">
        <x:v>Q054</x:v>
      </x:c>
      <x:c r="B59" t="str">
        <x:v>10</x:v>
      </x:c>
      <x:c r="C59" t="str">
        <x:v>Specialties</x:v>
      </x:c>
      <x:c r="D59" t="str">
        <x:v>Wall protection / chair rail</x:v>
      </x:c>
      <x:c r="E59" t="str">
        <x:v>ALL</x:v>
      </x:c>
      <x:c r="F59" t="str">
        <x:v>A-201/SP</x:v>
      </x:c>
      <x:c r="G59" s="26" t="str">
        <x:v>220LF assumed</x:v>
      </x:c>
      <x:c r="H59" t="str">
        <x:v>LF</x:v>
      </x:c>
      <x:c r="I59" s="40" t="n">
        <x:f>220</x:f>
        <x:v>220</x:v>
      </x:c>
      <x:c r="J59" s="40" t="n">
        <x:v>5</x:v>
      </x:c>
      <x:c r="K59" s="41" t="n">
        <x:f>ROUND(I59*(1+J59/100),2)</x:f>
        <x:v>231</x:v>
      </x:c>
      <x:c r="L59" s="40" t="n">
        <x:v>6.9</x:v>
      </x:c>
      <x:c r="M59" s="40" t="n">
        <x:v>8.2</x:v>
      </x:c>
      <x:c r="N59" s="40" t="n">
        <x:v>0.4</x:v>
      </x:c>
      <x:c r="O59" s="41" t="n">
        <x:f>K59*L59</x:f>
        <x:v>1593.9</x:v>
      </x:c>
      <x:c r="P59" s="41" t="n">
        <x:f>K59*M59</x:f>
        <x:v>1894.1999999999998</x:v>
      </x:c>
      <x:c r="Q59" s="41" t="n">
        <x:f>K59*N59</x:f>
        <x:v>92.4</x:v>
      </x:c>
      <x:c r="R59" s="41" t="n">
        <x:f>SUM(O59:Q59)</x:f>
        <x:v>3580.5</x:v>
      </x:c>
      <x:c r="S59" s="40" t="n">
        <x:v>0.22</x:v>
      </x:c>
      <x:c r="T59" s="41" t="n">
        <x:f>K59*S59</x:f>
        <x:v>50.82</x:v>
      </x:c>
      <x:c r="U59" t="str">
        <x:v>ALLOWANCE</x:v>
      </x:c>
      <x:c r="V59" t="str"/>
    </x:row>
    <x:row r="60" ht="25" customHeight="1">
      <x:c r="A60" t="str">
        <x:v>Q055</x:v>
      </x:c>
      <x:c r="B60" t="str">
        <x:v>10</x:v>
      </x:c>
      <x:c r="C60" t="str">
        <x:v>Specialties</x:v>
      </x:c>
      <x:c r="D60" t="str">
        <x:v>Room identification signage</x:v>
      </x:c>
      <x:c r="E60" t="str">
        <x:v>ALL</x:v>
      </x:c>
      <x:c r="F60" t="str">
        <x:v>A-201/SP</x:v>
      </x:c>
      <x:c r="G60" s="26" t="str">
        <x:v>16 room/exit signs</x:v>
      </x:c>
      <x:c r="H60" t="str">
        <x:v>EA</x:v>
      </x:c>
      <x:c r="I60" s="40" t="n">
        <x:f>16</x:f>
        <x:v>16</x:v>
      </x:c>
      <x:c r="J60" s="40" t="n">
        <x:v>0</x:v>
      </x:c>
      <x:c r="K60" s="41" t="n">
        <x:f>ROUND(I60*(1+J60/100),2)</x:f>
        <x:v>16</x:v>
      </x:c>
      <x:c r="L60" s="40" t="n">
        <x:v>110</x:v>
      </x:c>
      <x:c r="M60" s="40" t="n">
        <x:v>60</x:v>
      </x:c>
      <x:c r="N60" s="40" t="n">
        <x:v>5</x:v>
      </x:c>
      <x:c r="O60" s="41" t="n">
        <x:f>K60*L60</x:f>
        <x:v>1760</x:v>
      </x:c>
      <x:c r="P60" s="41" t="n">
        <x:f>K60*M60</x:f>
        <x:v>960</x:v>
      </x:c>
      <x:c r="Q60" s="41" t="n">
        <x:f>K60*N60</x:f>
        <x:v>80</x:v>
      </x:c>
      <x:c r="R60" s="41" t="n">
        <x:f>SUM(O60:Q60)</x:f>
        <x:v>2800</x:v>
      </x:c>
      <x:c r="S60" s="40" t="n">
        <x:v>1.1</x:v>
      </x:c>
      <x:c r="T60" s="41" t="n">
        <x:f>K60*S60</x:f>
        <x:v>17.6</x:v>
      </x:c>
      <x:c r="U60" t="str">
        <x:v>ALLOWANCE</x:v>
      </x:c>
      <x:c r="V60" t="str"/>
    </x:row>
    <x:row r="61" ht="25" customHeight="1">
      <x:c r="A61" t="str">
        <x:v>Q056</x:v>
      </x:c>
      <x:c r="B61" t="str">
        <x:v>12</x:v>
      </x:c>
      <x:c r="C61" t="str">
        <x:v>Casework / Millwork</x:v>
      </x:c>
      <x:c r="D61" t="str">
        <x:v>Breakroom base / wall cabinets</x:v>
      </x:c>
      <x:c r="E61" t="str">
        <x:v>Z07</x:v>
      </x:c>
      <x:c r="F61" t="str">
        <x:v>A-101/K1</x:v>
      </x:c>
      <x:c r="G61" s="26" t="str">
        <x:v>24LF kitchen millwork allowance</x:v>
      </x:c>
      <x:c r="H61" t="str">
        <x:v>LF</x:v>
      </x:c>
      <x:c r="I61" s="40" t="n">
        <x:f>24</x:f>
        <x:v>24</x:v>
      </x:c>
      <x:c r="J61" s="40" t="n">
        <x:v>0</x:v>
      </x:c>
      <x:c r="K61" s="41" t="n">
        <x:f>ROUND(I61*(1+J61/100),2)</x:f>
        <x:v>24</x:v>
      </x:c>
      <x:c r="L61" s="40" t="n">
        <x:v>260</x:v>
      </x:c>
      <x:c r="M61" s="40" t="n">
        <x:v>170</x:v>
      </x:c>
      <x:c r="N61" s="40" t="n">
        <x:v>6</x:v>
      </x:c>
      <x:c r="O61" s="41" t="n">
        <x:f>K61*L61</x:f>
        <x:v>6240</x:v>
      </x:c>
      <x:c r="P61" s="41" t="n">
        <x:f>K61*M61</x:f>
        <x:v>4080</x:v>
      </x:c>
      <x:c r="Q61" s="41" t="n">
        <x:f>K61*N61</x:f>
        <x:v>144</x:v>
      </x:c>
      <x:c r="R61" s="41" t="n">
        <x:f>SUM(O61:Q61)</x:f>
        <x:v>10464</x:v>
      </x:c>
      <x:c r="S61" s="40" t="n">
        <x:v>3</x:v>
      </x:c>
      <x:c r="T61" s="41" t="n">
        <x:f>K61*S61</x:f>
        <x:v>72</x:v>
      </x:c>
      <x:c r="U61" t="str">
        <x:v>ALLOWANCE</x:v>
      </x:c>
      <x:c r="V61" t="str"/>
    </x:row>
    <x:row r="62" ht="25" customHeight="1">
      <x:c r="A62" t="str">
        <x:v>Q057</x:v>
      </x:c>
      <x:c r="B62" t="str">
        <x:v>12</x:v>
      </x:c>
      <x:c r="C62" t="str">
        <x:v>Casework / Millwork</x:v>
      </x:c>
      <x:c r="D62" t="str">
        <x:v>Quartz countertop</x:v>
      </x:c>
      <x:c r="E62" t="str">
        <x:v>Z07</x:v>
      </x:c>
      <x:c r="F62" t="str">
        <x:v>A-101/K1</x:v>
      </x:c>
      <x:c r="G62" s="26" t="str">
        <x:v>48SF assumed countertop</x:v>
      </x:c>
      <x:c r="H62" t="str">
        <x:v>SF</x:v>
      </x:c>
      <x:c r="I62" s="40" t="n">
        <x:f>48</x:f>
        <x:v>48</x:v>
      </x:c>
      <x:c r="J62" s="40" t="n">
        <x:v>8</x:v>
      </x:c>
      <x:c r="K62" s="41" t="n">
        <x:f>ROUND(I62*(1+J62/100),2)</x:f>
        <x:v>51.84</x:v>
      </x:c>
      <x:c r="L62" s="40" t="n">
        <x:v>78</x:v>
      </x:c>
      <x:c r="M62" s="40" t="n">
        <x:v>58</x:v>
      </x:c>
      <x:c r="N62" s="40" t="n">
        <x:v>5</x:v>
      </x:c>
      <x:c r="O62" s="41" t="n">
        <x:f>K62*L62</x:f>
        <x:v>4043.5200000000004</x:v>
      </x:c>
      <x:c r="P62" s="41" t="n">
        <x:f>K62*M62</x:f>
        <x:v>3006.7200000000003</x:v>
      </x:c>
      <x:c r="Q62" s="41" t="n">
        <x:f>K62*N62</x:f>
        <x:v>259.20000000000005</x:v>
      </x:c>
      <x:c r="R62" s="41" t="n">
        <x:f>SUM(O62:Q62)</x:f>
        <x:v>7309.4400000000005</x:v>
      </x:c>
      <x:c r="S62" s="40" t="n">
        <x:v>1</x:v>
      </x:c>
      <x:c r="T62" s="41" t="n">
        <x:f>K62*S62</x:f>
        <x:v>51.84</x:v>
      </x:c>
      <x:c r="U62" t="str">
        <x:v>ALLOWANCE</x:v>
      </x:c>
      <x:c r="V62" t="str"/>
    </x:row>
    <x:row r="63" ht="25" customHeight="1">
      <x:c r="A63" t="str">
        <x:v>Q058</x:v>
      </x:c>
      <x:c r="B63" t="str">
        <x:v>22</x:v>
      </x:c>
      <x:c r="C63" t="str">
        <x:v>Plumbing (partial)</x:v>
      </x:c>
      <x:c r="D63" t="str">
        <x:v>Breakroom sinks with drain kits</x:v>
      </x:c>
      <x:c r="E63" t="str">
        <x:v>Z07</x:v>
      </x:c>
      <x:c r="F63" t="str">
        <x:v>P-101/BR</x:v>
      </x:c>
      <x:c r="G63" s="26" t="str">
        <x:v>2 kitchen sink locations</x:v>
      </x:c>
      <x:c r="H63" t="str">
        <x:v>EA</x:v>
      </x:c>
      <x:c r="I63" s="40" t="n">
        <x:f>2</x:f>
        <x:v>2</x:v>
      </x:c>
      <x:c r="J63" s="40" t="n">
        <x:v>0</x:v>
      </x:c>
      <x:c r="K63" s="41" t="n">
        <x:f>ROUND(I63*(1+J63/100),2)</x:f>
        <x:v>2</x:v>
      </x:c>
      <x:c r="L63" s="40" t="n">
        <x:v>310</x:v>
      </x:c>
      <x:c r="M63" s="40" t="n">
        <x:v>340</x:v>
      </x:c>
      <x:c r="N63" s="40" t="n">
        <x:v>20</x:v>
      </x:c>
      <x:c r="O63" s="41" t="n">
        <x:f>K63*L63</x:f>
        <x:v>620</x:v>
      </x:c>
      <x:c r="P63" s="41" t="n">
        <x:f>K63*M63</x:f>
        <x:v>680</x:v>
      </x:c>
      <x:c r="Q63" s="41" t="n">
        <x:f>K63*N63</x:f>
        <x:v>40</x:v>
      </x:c>
      <x:c r="R63" s="41" t="n">
        <x:f>SUM(O63:Q63)</x:f>
        <x:v>1340</x:v>
      </x:c>
      <x:c r="S63" s="40" t="n">
        <x:v>6</x:v>
      </x:c>
      <x:c r="T63" s="41" t="n">
        <x:f>K63*S63</x:f>
        <x:v>12</x:v>
      </x:c>
      <x:c r="U63" t="str">
        <x:v>ALLOWANCE</x:v>
      </x:c>
      <x:c r="V63" t="str"/>
    </x:row>
    <x:row r="64" ht="25" customHeight="1">
      <x:c r="A64" t="str">
        <x:v>Q059</x:v>
      </x:c>
      <x:c r="B64" t="str">
        <x:v>22</x:v>
      </x:c>
      <x:c r="C64" t="str">
        <x:v>Plumbing (partial)</x:v>
      </x:c>
      <x:c r="D64" t="str">
        <x:v>Breakroom faucet sets</x:v>
      </x:c>
      <x:c r="E64" t="str">
        <x:v>Z07</x:v>
      </x:c>
      <x:c r="F64" t="str">
        <x:v>P-101/BR</x:v>
      </x:c>
      <x:c r="G64" s="26" t="str">
        <x:v>2 fixtures</x:v>
      </x:c>
      <x:c r="H64" t="str">
        <x:v>EA</x:v>
      </x:c>
      <x:c r="I64" s="40" t="n">
        <x:f>2</x:f>
        <x:v>2</x:v>
      </x:c>
      <x:c r="J64" s="40" t="n">
        <x:v>0</x:v>
      </x:c>
      <x:c r="K64" s="41" t="n">
        <x:f>ROUND(I64*(1+J64/100),2)</x:f>
        <x:v>2</x:v>
      </x:c>
      <x:c r="L64" s="40" t="n">
        <x:v>240</x:v>
      </x:c>
      <x:c r="M64" s="40" t="n">
        <x:v>190</x:v>
      </x:c>
      <x:c r="N64" s="40" t="n">
        <x:v>12</x:v>
      </x:c>
      <x:c r="O64" s="41" t="n">
        <x:f>K64*L64</x:f>
        <x:v>480</x:v>
      </x:c>
      <x:c r="P64" s="41" t="n">
        <x:f>K64*M64</x:f>
        <x:v>380</x:v>
      </x:c>
      <x:c r="Q64" s="41" t="n">
        <x:f>K64*N64</x:f>
        <x:v>24</x:v>
      </x:c>
      <x:c r="R64" s="41" t="n">
        <x:f>SUM(O64:Q64)</x:f>
        <x:v>884</x:v>
      </x:c>
      <x:c r="S64" s="40" t="n">
        <x:v>3</x:v>
      </x:c>
      <x:c r="T64" s="41" t="n">
        <x:f>K64*S64</x:f>
        <x:v>6</x:v>
      </x:c>
      <x:c r="U64" t="str">
        <x:v>ALLOWANCE</x:v>
      </x:c>
      <x:c r="V64" t="str"/>
    </x:row>
    <x:row r="65" ht="25" customHeight="1">
      <x:c r="A65" t="str">
        <x:v>Q060</x:v>
      </x:c>
      <x:c r="B65" t="str">
        <x:v>22</x:v>
      </x:c>
      <x:c r="C65" t="str">
        <x:v>Plumbing (partial)</x:v>
      </x:c>
      <x:c r="D65" t="str">
        <x:v>Sink connection / rough-in allowance</x:v>
      </x:c>
      <x:c r="E65" t="str">
        <x:v>Z07</x:v>
      </x:c>
      <x:c r="F65" t="str">
        <x:v>P-101/BR</x:v>
      </x:c>
      <x:c r="G65" s="26" t="str">
        <x:v>2 connection sets</x:v>
      </x:c>
      <x:c r="H65" t="str">
        <x:v>SET</x:v>
      </x:c>
      <x:c r="I65" s="40" t="n">
        <x:f>2</x:f>
        <x:v>2</x:v>
      </x:c>
      <x:c r="J65" s="40" t="n">
        <x:v>0</x:v>
      </x:c>
      <x:c r="K65" s="41" t="n">
        <x:f>ROUND(I65*(1+J65/100),2)</x:f>
        <x:v>2</x:v>
      </x:c>
      <x:c r="L65" s="40" t="n">
        <x:v>280</x:v>
      </x:c>
      <x:c r="M65" s="40" t="n">
        <x:v>390</x:v>
      </x:c>
      <x:c r="N65" s="40" t="n">
        <x:v>30</x:v>
      </x:c>
      <x:c r="O65" s="41" t="n">
        <x:f>K65*L65</x:f>
        <x:v>560</x:v>
      </x:c>
      <x:c r="P65" s="41" t="n">
        <x:f>K65*M65</x:f>
        <x:v>780</x:v>
      </x:c>
      <x:c r="Q65" s="41" t="n">
        <x:f>K65*N65</x:f>
        <x:v>60</x:v>
      </x:c>
      <x:c r="R65" s="41" t="n">
        <x:f>SUM(O65:Q65)</x:f>
        <x:v>1400</x:v>
      </x:c>
      <x:c r="S65" s="40" t="n">
        <x:v>6</x:v>
      </x:c>
      <x:c r="T65" s="41" t="n">
        <x:f>K65*S65</x:f>
        <x:v>12</x:v>
      </x:c>
      <x:c r="U65" t="str">
        <x:v>ALLOWANCE</x:v>
      </x:c>
      <x:c r="V65" t="str">
        <x:v>Full pipe routing / permit design excluded.</x:v>
      </x:c>
    </x:row>
    <x:row r="66" ht="25" customHeight="1">
      <x:c r="A66" s="75" t="str">
        <x:v>Q061</x:v>
      </x:c>
      <x:c r="B66" s="75" t="str">
        <x:v>26</x:v>
      </x:c>
      <x:c r="C66" s="75" t="str">
        <x:v>Lighting</x:v>
      </x:c>
      <x:c r="D66" s="75" t="str">
        <x:v>LED fixtures, 2x4 or equal</x:v>
      </x:c>
      <x:c r="E66" s="75" t="str">
        <x:v>Z01</x:v>
      </x:c>
      <x:c r="F66" s="75" t="str">
        <x:v>E-101/L</x:v>
      </x:c>
      <x:c r="G66" s="75" t="str">
        <x:v>Room schedule fixture count</x:v>
      </x:c>
      <x:c r="H66" s="75" t="str">
        <x:v>EA</x:v>
      </x:c>
      <x:c r="I66" s="95" t="n">
        <x:f>'Zone Schedule'!K6</x:f>
        <x:v>6</x:v>
      </x:c>
      <x:c r="J66" s="95" t="n">
        <x:v>0</x:v>
      </x:c>
      <x:c r="K66" s="95" t="n">
        <x:f>ROUND(I66*(1+J66/100),2)</x:f>
        <x:v>6</x:v>
      </x:c>
      <x:c r="L66" s="95" t="n">
        <x:v>188</x:v>
      </x:c>
      <x:c r="M66" s="95" t="n">
        <x:v>140</x:v>
      </x:c>
      <x:c r="N66" s="95" t="n">
        <x:v>8</x:v>
      </x:c>
      <x:c r="O66" s="95" t="n">
        <x:f>K66*L66</x:f>
        <x:v>1128</x:v>
      </x:c>
      <x:c r="P66" s="95" t="n">
        <x:f>K66*M66</x:f>
        <x:v>840</x:v>
      </x:c>
      <x:c r="Q66" s="95" t="n">
        <x:f>K66*N66</x:f>
        <x:v>48</x:v>
      </x:c>
      <x:c r="R66" s="95" t="n">
        <x:f>SUM(O66:Q66)</x:f>
        <x:v>2016</x:v>
      </x:c>
      <x:c r="S66" s="95" t="n">
        <x:v>2.2</x:v>
      </x:c>
      <x:c r="T66" s="95" t="n">
        <x:f>K66*S66</x:f>
        <x:v>13.200000000000001</x:v>
      </x:c>
      <x:c r="U66" s="75" t="str">
        <x:v>SCHEDULED</x:v>
      </x:c>
      <x:c r="V66" s="75" t="str">
        <x:v>Illustrative, not a photometric layout.</x:v>
      </x:c>
    </x:row>
    <x:row r="67" ht="25" customHeight="1">
      <x:c r="A67" s="75" t="str">
        <x:v>Q062</x:v>
      </x:c>
      <x:c r="B67" s="75" t="str">
        <x:v>26</x:v>
      </x:c>
      <x:c r="C67" s="75" t="str">
        <x:v>Lighting</x:v>
      </x:c>
      <x:c r="D67" s="75" t="str">
        <x:v>LED fixtures, 2x4 or equal</x:v>
      </x:c>
      <x:c r="E67" s="75" t="str">
        <x:v>Z02</x:v>
      </x:c>
      <x:c r="F67" s="75" t="str">
        <x:v>E-101/L</x:v>
      </x:c>
      <x:c r="G67" s="75" t="str">
        <x:v>Room schedule fixture count</x:v>
      </x:c>
      <x:c r="H67" s="75" t="str">
        <x:v>EA</x:v>
      </x:c>
      <x:c r="I67" s="95" t="n">
        <x:f>'Zone Schedule'!K7</x:f>
        <x:v>8</x:v>
      </x:c>
      <x:c r="J67" s="95" t="n">
        <x:v>0</x:v>
      </x:c>
      <x:c r="K67" s="95" t="n">
        <x:f>ROUND(I67*(1+J67/100),2)</x:f>
        <x:v>8</x:v>
      </x:c>
      <x:c r="L67" s="95" t="n">
        <x:v>188</x:v>
      </x:c>
      <x:c r="M67" s="95" t="n">
        <x:v>140</x:v>
      </x:c>
      <x:c r="N67" s="95" t="n">
        <x:v>8</x:v>
      </x:c>
      <x:c r="O67" s="95" t="n">
        <x:f>K67*L67</x:f>
        <x:v>1504</x:v>
      </x:c>
      <x:c r="P67" s="95" t="n">
        <x:f>K67*M67</x:f>
        <x:v>1120</x:v>
      </x:c>
      <x:c r="Q67" s="95" t="n">
        <x:f>K67*N67</x:f>
        <x:v>64</x:v>
      </x:c>
      <x:c r="R67" s="95" t="n">
        <x:f>SUM(O67:Q67)</x:f>
        <x:v>2688</x:v>
      </x:c>
      <x:c r="S67" s="95" t="n">
        <x:v>2.2</x:v>
      </x:c>
      <x:c r="T67" s="95" t="n">
        <x:f>K67*S67</x:f>
        <x:v>17.6</x:v>
      </x:c>
      <x:c r="U67" s="75" t="str">
        <x:v>SCHEDULED</x:v>
      </x:c>
      <x:c r="V67" s="75" t="str">
        <x:v>Illustrative, not a photometric layout.</x:v>
      </x:c>
    </x:row>
    <x:row r="68" ht="25" customHeight="1">
      <x:c r="A68" s="75" t="str">
        <x:v>Q063</x:v>
      </x:c>
      <x:c r="B68" s="75" t="str">
        <x:v>26</x:v>
      </x:c>
      <x:c r="C68" s="75" t="str">
        <x:v>Lighting</x:v>
      </x:c>
      <x:c r="D68" s="75" t="str">
        <x:v>LED fixtures, 2x4 or equal</x:v>
      </x:c>
      <x:c r="E68" s="75" t="str">
        <x:v>Z03</x:v>
      </x:c>
      <x:c r="F68" s="75" t="str">
        <x:v>E-101/L</x:v>
      </x:c>
      <x:c r="G68" s="75" t="str">
        <x:v>Room schedule fixture count</x:v>
      </x:c>
      <x:c r="H68" s="75" t="str">
        <x:v>EA</x:v>
      </x:c>
      <x:c r="I68" s="95" t="n">
        <x:f>'Zone Schedule'!K8</x:f>
        <x:v>5</x:v>
      </x:c>
      <x:c r="J68" s="95" t="n">
        <x:v>0</x:v>
      </x:c>
      <x:c r="K68" s="95" t="n">
        <x:f>ROUND(I68*(1+J68/100),2)</x:f>
        <x:v>5</x:v>
      </x:c>
      <x:c r="L68" s="95" t="n">
        <x:v>188</x:v>
      </x:c>
      <x:c r="M68" s="95" t="n">
        <x:v>140</x:v>
      </x:c>
      <x:c r="N68" s="95" t="n">
        <x:v>8</x:v>
      </x:c>
      <x:c r="O68" s="95" t="n">
        <x:f>K68*L68</x:f>
        <x:v>940</x:v>
      </x:c>
      <x:c r="P68" s="95" t="n">
        <x:f>K68*M68</x:f>
        <x:v>700</x:v>
      </x:c>
      <x:c r="Q68" s="95" t="n">
        <x:f>K68*N68</x:f>
        <x:v>40</x:v>
      </x:c>
      <x:c r="R68" s="95" t="n">
        <x:f>SUM(O68:Q68)</x:f>
        <x:v>1680</x:v>
      </x:c>
      <x:c r="S68" s="95" t="n">
        <x:v>2.2</x:v>
      </x:c>
      <x:c r="T68" s="95" t="n">
        <x:f>K68*S68</x:f>
        <x:v>11</x:v>
      </x:c>
      <x:c r="U68" s="75" t="str">
        <x:v>SCHEDULED</x:v>
      </x:c>
      <x:c r="V68" s="75" t="str">
        <x:v>Illustrative, not a photometric layout.</x:v>
      </x:c>
    </x:row>
    <x:row r="69" ht="25" customHeight="1">
      <x:c r="A69" s="75" t="str">
        <x:v>Q064</x:v>
      </x:c>
      <x:c r="B69" s="75" t="str">
        <x:v>26</x:v>
      </x:c>
      <x:c r="C69" s="75" t="str">
        <x:v>Lighting</x:v>
      </x:c>
      <x:c r="D69" s="75" t="str">
        <x:v>LED fixtures, 2x4 or equal</x:v>
      </x:c>
      <x:c r="E69" s="75" t="str">
        <x:v>Z04</x:v>
      </x:c>
      <x:c r="F69" s="75" t="str">
        <x:v>E-101/L</x:v>
      </x:c>
      <x:c r="G69" s="75" t="str">
        <x:v>Room schedule fixture count</x:v>
      </x:c>
      <x:c r="H69" s="75" t="str">
        <x:v>EA</x:v>
      </x:c>
      <x:c r="I69" s="95" t="n">
        <x:f>'Zone Schedule'!K9</x:f>
        <x:v>5</x:v>
      </x:c>
      <x:c r="J69" s="95" t="n">
        <x:v>0</x:v>
      </x:c>
      <x:c r="K69" s="95" t="n">
        <x:f>ROUND(I69*(1+J69/100),2)</x:f>
        <x:v>5</x:v>
      </x:c>
      <x:c r="L69" s="95" t="n">
        <x:v>188</x:v>
      </x:c>
      <x:c r="M69" s="95" t="n">
        <x:v>140</x:v>
      </x:c>
      <x:c r="N69" s="95" t="n">
        <x:v>8</x:v>
      </x:c>
      <x:c r="O69" s="95" t="n">
        <x:f>K69*L69</x:f>
        <x:v>940</x:v>
      </x:c>
      <x:c r="P69" s="95" t="n">
        <x:f>K69*M69</x:f>
        <x:v>700</x:v>
      </x:c>
      <x:c r="Q69" s="95" t="n">
        <x:f>K69*N69</x:f>
        <x:v>40</x:v>
      </x:c>
      <x:c r="R69" s="95" t="n">
        <x:f>SUM(O69:Q69)</x:f>
        <x:v>1680</x:v>
      </x:c>
      <x:c r="S69" s="95" t="n">
        <x:v>2.2</x:v>
      </x:c>
      <x:c r="T69" s="95" t="n">
        <x:f>K69*S69</x:f>
        <x:v>11</x:v>
      </x:c>
      <x:c r="U69" s="75" t="str">
        <x:v>SCHEDULED</x:v>
      </x:c>
      <x:c r="V69" s="75" t="str">
        <x:v>Illustrative, not a photometric layout.</x:v>
      </x:c>
    </x:row>
    <x:row r="70" ht="25" customHeight="1">
      <x:c r="A70" s="75" t="str">
        <x:v>Q065</x:v>
      </x:c>
      <x:c r="B70" s="75" t="str">
        <x:v>26</x:v>
      </x:c>
      <x:c r="C70" s="75" t="str">
        <x:v>Lighting</x:v>
      </x:c>
      <x:c r="D70" s="75" t="str">
        <x:v>LED fixtures, 2x4 or equal</x:v>
      </x:c>
      <x:c r="E70" s="75" t="str">
        <x:v>Z05</x:v>
      </x:c>
      <x:c r="F70" s="75" t="str">
        <x:v>E-101/L</x:v>
      </x:c>
      <x:c r="G70" s="75" t="str">
        <x:v>Room schedule fixture count</x:v>
      </x:c>
      <x:c r="H70" s="75" t="str">
        <x:v>EA</x:v>
      </x:c>
      <x:c r="I70" s="95" t="n">
        <x:f>'Zone Schedule'!K10</x:f>
        <x:v>8</x:v>
      </x:c>
      <x:c r="J70" s="95" t="n">
        <x:v>0</x:v>
      </x:c>
      <x:c r="K70" s="95" t="n">
        <x:f>ROUND(I70*(1+J70/100),2)</x:f>
        <x:v>8</x:v>
      </x:c>
      <x:c r="L70" s="95" t="n">
        <x:v>188</x:v>
      </x:c>
      <x:c r="M70" s="95" t="n">
        <x:v>140</x:v>
      </x:c>
      <x:c r="N70" s="95" t="n">
        <x:v>8</x:v>
      </x:c>
      <x:c r="O70" s="95" t="n">
        <x:f>K70*L70</x:f>
        <x:v>1504</x:v>
      </x:c>
      <x:c r="P70" s="95" t="n">
        <x:f>K70*M70</x:f>
        <x:v>1120</x:v>
      </x:c>
      <x:c r="Q70" s="95" t="n">
        <x:f>K70*N70</x:f>
        <x:v>64</x:v>
      </x:c>
      <x:c r="R70" s="95" t="n">
        <x:f>SUM(O70:Q70)</x:f>
        <x:v>2688</x:v>
      </x:c>
      <x:c r="S70" s="95" t="n">
        <x:v>2.2</x:v>
      </x:c>
      <x:c r="T70" s="95" t="n">
        <x:f>K70*S70</x:f>
        <x:v>17.6</x:v>
      </x:c>
      <x:c r="U70" s="75" t="str">
        <x:v>SCHEDULED</x:v>
      </x:c>
      <x:c r="V70" s="75" t="str">
        <x:v>Illustrative, not a photometric layout.</x:v>
      </x:c>
    </x:row>
    <x:row r="71" ht="25" customHeight="1">
      <x:c r="A71" s="75" t="str">
        <x:v>Q066</x:v>
      </x:c>
      <x:c r="B71" s="75" t="str">
        <x:v>26</x:v>
      </x:c>
      <x:c r="C71" s="75" t="str">
        <x:v>Lighting</x:v>
      </x:c>
      <x:c r="D71" s="75" t="str">
        <x:v>LED fixtures, 2x4 or equal</x:v>
      </x:c>
      <x:c r="E71" s="75" t="str">
        <x:v>Z06</x:v>
      </x:c>
      <x:c r="F71" s="75" t="str">
        <x:v>E-101/L</x:v>
      </x:c>
      <x:c r="G71" s="75" t="str">
        <x:v>Room schedule fixture count</x:v>
      </x:c>
      <x:c r="H71" s="75" t="str">
        <x:v>EA</x:v>
      </x:c>
      <x:c r="I71" s="95" t="n">
        <x:f>'Zone Schedule'!K11</x:f>
        <x:v>8</x:v>
      </x:c>
      <x:c r="J71" s="95" t="n">
        <x:v>0</x:v>
      </x:c>
      <x:c r="K71" s="95" t="n">
        <x:f>ROUND(I71*(1+J71/100),2)</x:f>
        <x:v>8</x:v>
      </x:c>
      <x:c r="L71" s="95" t="n">
        <x:v>188</x:v>
      </x:c>
      <x:c r="M71" s="95" t="n">
        <x:v>140</x:v>
      </x:c>
      <x:c r="N71" s="95" t="n">
        <x:v>8</x:v>
      </x:c>
      <x:c r="O71" s="95" t="n">
        <x:f>K71*L71</x:f>
        <x:v>1504</x:v>
      </x:c>
      <x:c r="P71" s="95" t="n">
        <x:f>K71*M71</x:f>
        <x:v>1120</x:v>
      </x:c>
      <x:c r="Q71" s="95" t="n">
        <x:f>K71*N71</x:f>
        <x:v>64</x:v>
      </x:c>
      <x:c r="R71" s="95" t="n">
        <x:f>SUM(O71:Q71)</x:f>
        <x:v>2688</x:v>
      </x:c>
      <x:c r="S71" s="95" t="n">
        <x:v>2.2</x:v>
      </x:c>
      <x:c r="T71" s="95" t="n">
        <x:f>K71*S71</x:f>
        <x:v>17.6</x:v>
      </x:c>
      <x:c r="U71" s="75" t="str">
        <x:v>SCHEDULED</x:v>
      </x:c>
      <x:c r="V71" s="75" t="str">
        <x:v>Illustrative, not a photometric layout.</x:v>
      </x:c>
    </x:row>
    <x:row r="72" ht="25" customHeight="1">
      <x:c r="A72" s="75" t="str">
        <x:v>Q067</x:v>
      </x:c>
      <x:c r="B72" s="75" t="str">
        <x:v>26</x:v>
      </x:c>
      <x:c r="C72" s="75" t="str">
        <x:v>Lighting</x:v>
      </x:c>
      <x:c r="D72" s="75" t="str">
        <x:v>LED fixtures, 2x4 or equal</x:v>
      </x:c>
      <x:c r="E72" s="75" t="str">
        <x:v>Z07</x:v>
      </x:c>
      <x:c r="F72" s="75" t="str">
        <x:v>E-101/L</x:v>
      </x:c>
      <x:c r="G72" s="75" t="str">
        <x:v>Room schedule fixture count</x:v>
      </x:c>
      <x:c r="H72" s="75" t="str">
        <x:v>EA</x:v>
      </x:c>
      <x:c r="I72" s="95" t="n">
        <x:f>'Zone Schedule'!K12</x:f>
        <x:v>5</x:v>
      </x:c>
      <x:c r="J72" s="95" t="n">
        <x:v>0</x:v>
      </x:c>
      <x:c r="K72" s="95" t="n">
        <x:f>ROUND(I72*(1+J72/100),2)</x:f>
        <x:v>5</x:v>
      </x:c>
      <x:c r="L72" s="95" t="n">
        <x:v>188</x:v>
      </x:c>
      <x:c r="M72" s="95" t="n">
        <x:v>140</x:v>
      </x:c>
      <x:c r="N72" s="95" t="n">
        <x:v>8</x:v>
      </x:c>
      <x:c r="O72" s="95" t="n">
        <x:f>K72*L72</x:f>
        <x:v>940</x:v>
      </x:c>
      <x:c r="P72" s="95" t="n">
        <x:f>K72*M72</x:f>
        <x:v>700</x:v>
      </x:c>
      <x:c r="Q72" s="95" t="n">
        <x:f>K72*N72</x:f>
        <x:v>40</x:v>
      </x:c>
      <x:c r="R72" s="95" t="n">
        <x:f>SUM(O72:Q72)</x:f>
        <x:v>1680</x:v>
      </x:c>
      <x:c r="S72" s="95" t="n">
        <x:v>2.2</x:v>
      </x:c>
      <x:c r="T72" s="95" t="n">
        <x:f>K72*S72</x:f>
        <x:v>11</x:v>
      </x:c>
      <x:c r="U72" s="75" t="str">
        <x:v>SCHEDULED</x:v>
      </x:c>
      <x:c r="V72" s="75" t="str">
        <x:v>Illustrative, not a photometric layout.</x:v>
      </x:c>
    </x:row>
    <x:row r="73" ht="25" customHeight="1">
      <x:c r="A73" s="75" t="str">
        <x:v>Q068</x:v>
      </x:c>
      <x:c r="B73" s="75" t="str">
        <x:v>26</x:v>
      </x:c>
      <x:c r="C73" s="75" t="str">
        <x:v>Lighting</x:v>
      </x:c>
      <x:c r="D73" s="75" t="str">
        <x:v>LED fixtures, 2x4 or equal</x:v>
      </x:c>
      <x:c r="E73" s="75" t="str">
        <x:v>Z08</x:v>
      </x:c>
      <x:c r="F73" s="75" t="str">
        <x:v>E-101/L</x:v>
      </x:c>
      <x:c r="G73" s="75" t="str">
        <x:v>Room schedule fixture count</x:v>
      </x:c>
      <x:c r="H73" s="75" t="str">
        <x:v>EA</x:v>
      </x:c>
      <x:c r="I73" s="95" t="n">
        <x:f>'Zone Schedule'!K13</x:f>
        <x:v>3</x:v>
      </x:c>
      <x:c r="J73" s="95" t="n">
        <x:v>0</x:v>
      </x:c>
      <x:c r="K73" s="95" t="n">
        <x:f>ROUND(I73*(1+J73/100),2)</x:f>
        <x:v>3</x:v>
      </x:c>
      <x:c r="L73" s="95" t="n">
        <x:v>188</x:v>
      </x:c>
      <x:c r="M73" s="95" t="n">
        <x:v>140</x:v>
      </x:c>
      <x:c r="N73" s="95" t="n">
        <x:v>8</x:v>
      </x:c>
      <x:c r="O73" s="95" t="n">
        <x:f>K73*L73</x:f>
        <x:v>564</x:v>
      </x:c>
      <x:c r="P73" s="95" t="n">
        <x:f>K73*M73</x:f>
        <x:v>420</x:v>
      </x:c>
      <x:c r="Q73" s="95" t="n">
        <x:f>K73*N73</x:f>
        <x:v>24</x:v>
      </x:c>
      <x:c r="R73" s="95" t="n">
        <x:f>SUM(O73:Q73)</x:f>
        <x:v>1008</x:v>
      </x:c>
      <x:c r="S73" s="95" t="n">
        <x:v>2.2</x:v>
      </x:c>
      <x:c r="T73" s="95" t="n">
        <x:f>K73*S73</x:f>
        <x:v>6.6000000000000005</x:v>
      </x:c>
      <x:c r="U73" s="75" t="str">
        <x:v>SCHEDULED</x:v>
      </x:c>
      <x:c r="V73" s="75" t="str">
        <x:v>Illustrative, not a photometric layout.</x:v>
      </x:c>
    </x:row>
    <x:row r="74" ht="25" customHeight="1">
      <x:c r="A74" s="75" t="str">
        <x:v>Q069</x:v>
      </x:c>
      <x:c r="B74" s="75" t="str">
        <x:v>26</x:v>
      </x:c>
      <x:c r="C74" s="75" t="str">
        <x:v>Lighting</x:v>
      </x:c>
      <x:c r="D74" s="75" t="str">
        <x:v>LED fixtures, 2x4 or equal</x:v>
      </x:c>
      <x:c r="E74" s="75" t="str">
        <x:v>Z09</x:v>
      </x:c>
      <x:c r="F74" s="75" t="str">
        <x:v>E-101/L</x:v>
      </x:c>
      <x:c r="G74" s="75" t="str">
        <x:v>Room schedule fixture count</x:v>
      </x:c>
      <x:c r="H74" s="75" t="str">
        <x:v>EA</x:v>
      </x:c>
      <x:c r="I74" s="95" t="n">
        <x:f>'Zone Schedule'!K14</x:f>
        <x:v>8</x:v>
      </x:c>
      <x:c r="J74" s="95" t="n">
        <x:v>0</x:v>
      </x:c>
      <x:c r="K74" s="95" t="n">
        <x:f>ROUND(I74*(1+J74/100),2)</x:f>
        <x:v>8</x:v>
      </x:c>
      <x:c r="L74" s="95" t="n">
        <x:v>188</x:v>
      </x:c>
      <x:c r="M74" s="95" t="n">
        <x:v>140</x:v>
      </x:c>
      <x:c r="N74" s="95" t="n">
        <x:v>8</x:v>
      </x:c>
      <x:c r="O74" s="95" t="n">
        <x:f>K74*L74</x:f>
        <x:v>1504</x:v>
      </x:c>
      <x:c r="P74" s="95" t="n">
        <x:f>K74*M74</x:f>
        <x:v>1120</x:v>
      </x:c>
      <x:c r="Q74" s="95" t="n">
        <x:f>K74*N74</x:f>
        <x:v>64</x:v>
      </x:c>
      <x:c r="R74" s="95" t="n">
        <x:f>SUM(O74:Q74)</x:f>
        <x:v>2688</x:v>
      </x:c>
      <x:c r="S74" s="95" t="n">
        <x:v>2.2</x:v>
      </x:c>
      <x:c r="T74" s="95" t="n">
        <x:f>K74*S74</x:f>
        <x:v>17.6</x:v>
      </x:c>
      <x:c r="U74" s="75" t="str">
        <x:v>SCHEDULED</x:v>
      </x:c>
      <x:c r="V74" s="75" t="str">
        <x:v>Illustrative, not a photometric layout.</x:v>
      </x:c>
    </x:row>
    <x:row r="75" ht="25" customHeight="1">
      <x:c r="A75" t="str">
        <x:v>Q070</x:v>
      </x:c>
      <x:c r="B75" t="str">
        <x:v>26</x:v>
      </x:c>
      <x:c r="C75" t="str">
        <x:v>Lighting</x:v>
      </x:c>
      <x:c r="D75" t="str">
        <x:v>Wall switch / controls allowance</x:v>
      </x:c>
      <x:c r="E75" t="str">
        <x:v>ALL</x:v>
      </x:c>
      <x:c r="F75" t="str">
        <x:v>E-101/S</x:v>
      </x:c>
      <x:c r="G75" s="26" t="str">
        <x:v>18 switch positions</x:v>
      </x:c>
      <x:c r="H75" t="str">
        <x:v>EA</x:v>
      </x:c>
      <x:c r="I75" s="40" t="n">
        <x:f>Inputs!B41</x:f>
        <x:v>18</x:v>
      </x:c>
      <x:c r="J75" s="40" t="n">
        <x:v>0</x:v>
      </x:c>
      <x:c r="K75" s="41" t="n">
        <x:f>ROUND(I75*(1+J75/100),2)</x:f>
        <x:v>18</x:v>
      </x:c>
      <x:c r="L75" s="40" t="n">
        <x:v>65</x:v>
      </x:c>
      <x:c r="M75" s="40" t="n">
        <x:v>120</x:v>
      </x:c>
      <x:c r="N75" s="40" t="n">
        <x:v>5</x:v>
      </x:c>
      <x:c r="O75" s="41" t="n">
        <x:f>K75*L75</x:f>
        <x:v>1170</x:v>
      </x:c>
      <x:c r="P75" s="41" t="n">
        <x:f>K75*M75</x:f>
        <x:v>2160</x:v>
      </x:c>
      <x:c r="Q75" s="41" t="n">
        <x:f>K75*N75</x:f>
        <x:v>90</x:v>
      </x:c>
      <x:c r="R75" s="41" t="n">
        <x:f>SUM(O75:Q75)</x:f>
        <x:v>3420</x:v>
      </x:c>
      <x:c r="S75" s="40" t="n">
        <x:v>2</x:v>
      </x:c>
      <x:c r="T75" s="41" t="n">
        <x:f>K75*S75</x:f>
        <x:v>36</x:v>
      </x:c>
      <x:c r="U75" t="str">
        <x:v>ALLOWANCE</x:v>
      </x:c>
      <x:c r="V75" t="str"/>
    </x:row>
    <x:row r="76" ht="25" customHeight="1">
      <x:c r="A76" t="str">
        <x:v>Q071</x:v>
      </x:c>
      <x:c r="B76" t="str">
        <x:v>26</x:v>
      </x:c>
      <x:c r="C76" t="str">
        <x:v>Power</x:v>
      </x:c>
      <x:c r="D76" t="str">
        <x:v>Duplex receptacles incl. trim</x:v>
      </x:c>
      <x:c r="E76" t="str">
        <x:v>Z01</x:v>
      </x:c>
      <x:c r="F76" t="str">
        <x:v>E-101/P</x:v>
      </x:c>
      <x:c r="G76" s="26" t="str">
        <x:v>Room schedule duplex count</x:v>
      </x:c>
      <x:c r="H76" t="str">
        <x:v>EA</x:v>
      </x:c>
      <x:c r="I76" s="40" t="n">
        <x:f>'Zone Schedule'!L6</x:f>
        <x:v>8</x:v>
      </x:c>
      <x:c r="J76" s="40" t="n">
        <x:v>0</x:v>
      </x:c>
      <x:c r="K76" s="41" t="n">
        <x:f>ROUND(I76*(1+J76/100),2)</x:f>
        <x:v>8</x:v>
      </x:c>
      <x:c r="L76" s="40" t="n">
        <x:v>56</x:v>
      </x:c>
      <x:c r="M76" s="40" t="n">
        <x:v>105</x:v>
      </x:c>
      <x:c r="N76" s="40" t="n">
        <x:v>5</x:v>
      </x:c>
      <x:c r="O76" s="41" t="n">
        <x:f>K76*L76</x:f>
        <x:v>448</x:v>
      </x:c>
      <x:c r="P76" s="41" t="n">
        <x:f>K76*M76</x:f>
        <x:v>840</x:v>
      </x:c>
      <x:c r="Q76" s="41" t="n">
        <x:f>K76*N76</x:f>
        <x:v>40</x:v>
      </x:c>
      <x:c r="R76" s="41" t="n">
        <x:f>SUM(O76:Q76)</x:f>
        <x:v>1328</x:v>
      </x:c>
      <x:c r="S76" s="40" t="n">
        <x:v>1.65</x:v>
      </x:c>
      <x:c r="T76" s="41" t="n">
        <x:f>K76*S76</x:f>
        <x:v>13.2</x:v>
      </x:c>
      <x:c r="U76" t="str">
        <x:v>SCHEDULED</x:v>
      </x:c>
      <x:c r="V76" t="str">
        <x:v>Circuiting not verified.</x:v>
      </x:c>
    </x:row>
    <x:row r="77" ht="25" customHeight="1">
      <x:c r="A77" t="str">
        <x:v>Q072</x:v>
      </x:c>
      <x:c r="B77" t="str">
        <x:v>26</x:v>
      </x:c>
      <x:c r="C77" t="str">
        <x:v>Power</x:v>
      </x:c>
      <x:c r="D77" t="str">
        <x:v>Duplex receptacles incl. trim</x:v>
      </x:c>
      <x:c r="E77" t="str">
        <x:v>Z02</x:v>
      </x:c>
      <x:c r="F77" t="str">
        <x:v>E-101/P</x:v>
      </x:c>
      <x:c r="G77" s="26" t="str">
        <x:v>Room schedule duplex count</x:v>
      </x:c>
      <x:c r="H77" t="str">
        <x:v>EA</x:v>
      </x:c>
      <x:c r="I77" s="40" t="n">
        <x:f>'Zone Schedule'!L7</x:f>
        <x:v>12</x:v>
      </x:c>
      <x:c r="J77" s="40" t="n">
        <x:v>0</x:v>
      </x:c>
      <x:c r="K77" s="41" t="n">
        <x:f>ROUND(I77*(1+J77/100),2)</x:f>
        <x:v>12</x:v>
      </x:c>
      <x:c r="L77" s="40" t="n">
        <x:v>56</x:v>
      </x:c>
      <x:c r="M77" s="40" t="n">
        <x:v>105</x:v>
      </x:c>
      <x:c r="N77" s="40" t="n">
        <x:v>5</x:v>
      </x:c>
      <x:c r="O77" s="41" t="n">
        <x:f>K77*L77</x:f>
        <x:v>672</x:v>
      </x:c>
      <x:c r="P77" s="41" t="n">
        <x:f>K77*M77</x:f>
        <x:v>1260</x:v>
      </x:c>
      <x:c r="Q77" s="41" t="n">
        <x:f>K77*N77</x:f>
        <x:v>60</x:v>
      </x:c>
      <x:c r="R77" s="41" t="n">
        <x:f>SUM(O77:Q77)</x:f>
        <x:v>1992</x:v>
      </x:c>
      <x:c r="S77" s="40" t="n">
        <x:v>1.65</x:v>
      </x:c>
      <x:c r="T77" s="41" t="n">
        <x:f>K77*S77</x:f>
        <x:v>19.799999999999997</x:v>
      </x:c>
      <x:c r="U77" t="str">
        <x:v>SCHEDULED</x:v>
      </x:c>
      <x:c r="V77" t="str">
        <x:v>Circuiting not verified.</x:v>
      </x:c>
    </x:row>
    <x:row r="78" ht="25" customHeight="1">
      <x:c r="A78" t="str">
        <x:v>Q073</x:v>
      </x:c>
      <x:c r="B78" t="str">
        <x:v>26</x:v>
      </x:c>
      <x:c r="C78" t="str">
        <x:v>Power</x:v>
      </x:c>
      <x:c r="D78" t="str">
        <x:v>Duplex receptacles incl. trim</x:v>
      </x:c>
      <x:c r="E78" t="str">
        <x:v>Z03</x:v>
      </x:c>
      <x:c r="F78" t="str">
        <x:v>E-101/P</x:v>
      </x:c>
      <x:c r="G78" s="26" t="str">
        <x:v>Room schedule duplex count</x:v>
      </x:c>
      <x:c r="H78" t="str">
        <x:v>EA</x:v>
      </x:c>
      <x:c r="I78" s="40" t="n">
        <x:f>'Zone Schedule'!L8</x:f>
        <x:v>8</x:v>
      </x:c>
      <x:c r="J78" s="40" t="n">
        <x:v>0</x:v>
      </x:c>
      <x:c r="K78" s="41" t="n">
        <x:f>ROUND(I78*(1+J78/100),2)</x:f>
        <x:v>8</x:v>
      </x:c>
      <x:c r="L78" s="40" t="n">
        <x:v>56</x:v>
      </x:c>
      <x:c r="M78" s="40" t="n">
        <x:v>105</x:v>
      </x:c>
      <x:c r="N78" s="40" t="n">
        <x:v>5</x:v>
      </x:c>
      <x:c r="O78" s="41" t="n">
        <x:f>K78*L78</x:f>
        <x:v>448</x:v>
      </x:c>
      <x:c r="P78" s="41" t="n">
        <x:f>K78*M78</x:f>
        <x:v>840</x:v>
      </x:c>
      <x:c r="Q78" s="41" t="n">
        <x:f>K78*N78</x:f>
        <x:v>40</x:v>
      </x:c>
      <x:c r="R78" s="41" t="n">
        <x:f>SUM(O78:Q78)</x:f>
        <x:v>1328</x:v>
      </x:c>
      <x:c r="S78" s="40" t="n">
        <x:v>1.65</x:v>
      </x:c>
      <x:c r="T78" s="41" t="n">
        <x:f>K78*S78</x:f>
        <x:v>13.2</x:v>
      </x:c>
      <x:c r="U78" t="str">
        <x:v>SCHEDULED</x:v>
      </x:c>
      <x:c r="V78" t="str">
        <x:v>Circuiting not verified.</x:v>
      </x:c>
    </x:row>
    <x:row r="79" ht="25" customHeight="1">
      <x:c r="A79" t="str">
        <x:v>Q074</x:v>
      </x:c>
      <x:c r="B79" t="str">
        <x:v>26</x:v>
      </x:c>
      <x:c r="C79" t="str">
        <x:v>Power</x:v>
      </x:c>
      <x:c r="D79" t="str">
        <x:v>Duplex receptacles incl. trim</x:v>
      </x:c>
      <x:c r="E79" t="str">
        <x:v>Z04</x:v>
      </x:c>
      <x:c r="F79" t="str">
        <x:v>E-101/P</x:v>
      </x:c>
      <x:c r="G79" s="26" t="str">
        <x:v>Room schedule duplex count</x:v>
      </x:c>
      <x:c r="H79" t="str">
        <x:v>EA</x:v>
      </x:c>
      <x:c r="I79" s="40" t="n">
        <x:f>'Zone Schedule'!L9</x:f>
        <x:v>8</x:v>
      </x:c>
      <x:c r="J79" s="40" t="n">
        <x:v>0</x:v>
      </x:c>
      <x:c r="K79" s="41" t="n">
        <x:f>ROUND(I79*(1+J79/100),2)</x:f>
        <x:v>8</x:v>
      </x:c>
      <x:c r="L79" s="40" t="n">
        <x:v>56</x:v>
      </x:c>
      <x:c r="M79" s="40" t="n">
        <x:v>105</x:v>
      </x:c>
      <x:c r="N79" s="40" t="n">
        <x:v>5</x:v>
      </x:c>
      <x:c r="O79" s="41" t="n">
        <x:f>K79*L79</x:f>
        <x:v>448</x:v>
      </x:c>
      <x:c r="P79" s="41" t="n">
        <x:f>K79*M79</x:f>
        <x:v>840</x:v>
      </x:c>
      <x:c r="Q79" s="41" t="n">
        <x:f>K79*N79</x:f>
        <x:v>40</x:v>
      </x:c>
      <x:c r="R79" s="41" t="n">
        <x:f>SUM(O79:Q79)</x:f>
        <x:v>1328</x:v>
      </x:c>
      <x:c r="S79" s="40" t="n">
        <x:v>1.65</x:v>
      </x:c>
      <x:c r="T79" s="41" t="n">
        <x:f>K79*S79</x:f>
        <x:v>13.2</x:v>
      </x:c>
      <x:c r="U79" t="str">
        <x:v>SCHEDULED</x:v>
      </x:c>
      <x:c r="V79" t="str">
        <x:v>Circuiting not verified.</x:v>
      </x:c>
    </x:row>
    <x:row r="80" ht="25" customHeight="1">
      <x:c r="A80" t="str">
        <x:v>Q075</x:v>
      </x:c>
      <x:c r="B80" t="str">
        <x:v>26</x:v>
      </x:c>
      <x:c r="C80" t="str">
        <x:v>Power</x:v>
      </x:c>
      <x:c r="D80" t="str">
        <x:v>Duplex receptacles incl. trim</x:v>
      </x:c>
      <x:c r="E80" t="str">
        <x:v>Z05</x:v>
      </x:c>
      <x:c r="F80" t="str">
        <x:v>E-101/P</x:v>
      </x:c>
      <x:c r="G80" s="26" t="str">
        <x:v>Room schedule duplex count</x:v>
      </x:c>
      <x:c r="H80" t="str">
        <x:v>EA</x:v>
      </x:c>
      <x:c r="I80" s="40" t="n">
        <x:f>'Zone Schedule'!L10</x:f>
        <x:v>12</x:v>
      </x:c>
      <x:c r="J80" s="40" t="n">
        <x:v>0</x:v>
      </x:c>
      <x:c r="K80" s="41" t="n">
        <x:f>ROUND(I80*(1+J80/100),2)</x:f>
        <x:v>12</x:v>
      </x:c>
      <x:c r="L80" s="40" t="n">
        <x:v>56</x:v>
      </x:c>
      <x:c r="M80" s="40" t="n">
        <x:v>105</x:v>
      </x:c>
      <x:c r="N80" s="40" t="n">
        <x:v>5</x:v>
      </x:c>
      <x:c r="O80" s="41" t="n">
        <x:f>K80*L80</x:f>
        <x:v>672</x:v>
      </x:c>
      <x:c r="P80" s="41" t="n">
        <x:f>K80*M80</x:f>
        <x:v>1260</x:v>
      </x:c>
      <x:c r="Q80" s="41" t="n">
        <x:f>K80*N80</x:f>
        <x:v>60</x:v>
      </x:c>
      <x:c r="R80" s="41" t="n">
        <x:f>SUM(O80:Q80)</x:f>
        <x:v>1992</x:v>
      </x:c>
      <x:c r="S80" s="40" t="n">
        <x:v>1.65</x:v>
      </x:c>
      <x:c r="T80" s="41" t="n">
        <x:f>K80*S80</x:f>
        <x:v>19.799999999999997</x:v>
      </x:c>
      <x:c r="U80" t="str">
        <x:v>SCHEDULED</x:v>
      </x:c>
      <x:c r="V80" t="str">
        <x:v>Circuiting not verified.</x:v>
      </x:c>
    </x:row>
    <x:row r="81" ht="25" customHeight="1">
      <x:c r="A81" t="str">
        <x:v>Q076</x:v>
      </x:c>
      <x:c r="B81" t="str">
        <x:v>26</x:v>
      </x:c>
      <x:c r="C81" t="str">
        <x:v>Power</x:v>
      </x:c>
      <x:c r="D81" t="str">
        <x:v>Duplex receptacles incl. trim</x:v>
      </x:c>
      <x:c r="E81" t="str">
        <x:v>Z06</x:v>
      </x:c>
      <x:c r="F81" t="str">
        <x:v>E-101/P</x:v>
      </x:c>
      <x:c r="G81" s="26" t="str">
        <x:v>Room schedule duplex count</x:v>
      </x:c>
      <x:c r="H81" t="str">
        <x:v>EA</x:v>
      </x:c>
      <x:c r="I81" s="40" t="n">
        <x:f>'Zone Schedule'!L11</x:f>
        <x:v>12</x:v>
      </x:c>
      <x:c r="J81" s="40" t="n">
        <x:v>0</x:v>
      </x:c>
      <x:c r="K81" s="41" t="n">
        <x:f>ROUND(I81*(1+J81/100),2)</x:f>
        <x:v>12</x:v>
      </x:c>
      <x:c r="L81" s="40" t="n">
        <x:v>56</x:v>
      </x:c>
      <x:c r="M81" s="40" t="n">
        <x:v>105</x:v>
      </x:c>
      <x:c r="N81" s="40" t="n">
        <x:v>5</x:v>
      </x:c>
      <x:c r="O81" s="41" t="n">
        <x:f>K81*L81</x:f>
        <x:v>672</x:v>
      </x:c>
      <x:c r="P81" s="41" t="n">
        <x:f>K81*M81</x:f>
        <x:v>1260</x:v>
      </x:c>
      <x:c r="Q81" s="41" t="n">
        <x:f>K81*N81</x:f>
        <x:v>60</x:v>
      </x:c>
      <x:c r="R81" s="41" t="n">
        <x:f>SUM(O81:Q81)</x:f>
        <x:v>1992</x:v>
      </x:c>
      <x:c r="S81" s="40" t="n">
        <x:v>1.65</x:v>
      </x:c>
      <x:c r="T81" s="41" t="n">
        <x:f>K81*S81</x:f>
        <x:v>19.799999999999997</x:v>
      </x:c>
      <x:c r="U81" t="str">
        <x:v>SCHEDULED</x:v>
      </x:c>
      <x:c r="V81" t="str">
        <x:v>Circuiting not verified.</x:v>
      </x:c>
    </x:row>
    <x:row r="82" ht="25" customHeight="1">
      <x:c r="A82" t="str">
        <x:v>Q077</x:v>
      </x:c>
      <x:c r="B82" t="str">
        <x:v>26</x:v>
      </x:c>
      <x:c r="C82" t="str">
        <x:v>Power</x:v>
      </x:c>
      <x:c r="D82" t="str">
        <x:v>Duplex receptacles incl. trim</x:v>
      </x:c>
      <x:c r="E82" t="str">
        <x:v>Z07</x:v>
      </x:c>
      <x:c r="F82" t="str">
        <x:v>E-101/P</x:v>
      </x:c>
      <x:c r="G82" s="26" t="str">
        <x:v>Room schedule duplex count</x:v>
      </x:c>
      <x:c r="H82" t="str">
        <x:v>EA</x:v>
      </x:c>
      <x:c r="I82" s="40" t="n">
        <x:f>'Zone Schedule'!L12</x:f>
        <x:v>6</x:v>
      </x:c>
      <x:c r="J82" s="40" t="n">
        <x:v>0</x:v>
      </x:c>
      <x:c r="K82" s="41" t="n">
        <x:f>ROUND(I82*(1+J82/100),2)</x:f>
        <x:v>6</x:v>
      </x:c>
      <x:c r="L82" s="40" t="n">
        <x:v>56</x:v>
      </x:c>
      <x:c r="M82" s="40" t="n">
        <x:v>105</x:v>
      </x:c>
      <x:c r="N82" s="40" t="n">
        <x:v>5</x:v>
      </x:c>
      <x:c r="O82" s="41" t="n">
        <x:f>K82*L82</x:f>
        <x:v>336</x:v>
      </x:c>
      <x:c r="P82" s="41" t="n">
        <x:f>K82*M82</x:f>
        <x:v>630</x:v>
      </x:c>
      <x:c r="Q82" s="41" t="n">
        <x:f>K82*N82</x:f>
        <x:v>30</x:v>
      </x:c>
      <x:c r="R82" s="41" t="n">
        <x:f>SUM(O82:Q82)</x:f>
        <x:v>996</x:v>
      </x:c>
      <x:c r="S82" s="40" t="n">
        <x:v>1.65</x:v>
      </x:c>
      <x:c r="T82" s="41" t="n">
        <x:f>K82*S82</x:f>
        <x:v>9.899999999999999</x:v>
      </x:c>
      <x:c r="U82" t="str">
        <x:v>SCHEDULED</x:v>
      </x:c>
      <x:c r="V82" t="str">
        <x:v>Circuiting not verified.</x:v>
      </x:c>
    </x:row>
    <x:row r="83" ht="25" customHeight="1">
      <x:c r="A83" t="str">
        <x:v>Q078</x:v>
      </x:c>
      <x:c r="B83" t="str">
        <x:v>26</x:v>
      </x:c>
      <x:c r="C83" t="str">
        <x:v>Power</x:v>
      </x:c>
      <x:c r="D83" t="str">
        <x:v>Duplex receptacles incl. trim</x:v>
      </x:c>
      <x:c r="E83" t="str">
        <x:v>Z08</x:v>
      </x:c>
      <x:c r="F83" t="str">
        <x:v>E-101/P</x:v>
      </x:c>
      <x:c r="G83" s="26" t="str">
        <x:v>Room schedule duplex count</x:v>
      </x:c>
      <x:c r="H83" t="str">
        <x:v>EA</x:v>
      </x:c>
      <x:c r="I83" s="40" t="n">
        <x:f>'Zone Schedule'!L13</x:f>
        <x:v>4</x:v>
      </x:c>
      <x:c r="J83" s="40" t="n">
        <x:v>0</x:v>
      </x:c>
      <x:c r="K83" s="41" t="n">
        <x:f>ROUND(I83*(1+J83/100),2)</x:f>
        <x:v>4</x:v>
      </x:c>
      <x:c r="L83" s="40" t="n">
        <x:v>56</x:v>
      </x:c>
      <x:c r="M83" s="40" t="n">
        <x:v>105</x:v>
      </x:c>
      <x:c r="N83" s="40" t="n">
        <x:v>5</x:v>
      </x:c>
      <x:c r="O83" s="41" t="n">
        <x:f>K83*L83</x:f>
        <x:v>224</x:v>
      </x:c>
      <x:c r="P83" s="41" t="n">
        <x:f>K83*M83</x:f>
        <x:v>420</x:v>
      </x:c>
      <x:c r="Q83" s="41" t="n">
        <x:f>K83*N83</x:f>
        <x:v>20</x:v>
      </x:c>
      <x:c r="R83" s="41" t="n">
        <x:f>SUM(O83:Q83)</x:f>
        <x:v>664</x:v>
      </x:c>
      <x:c r="S83" s="40" t="n">
        <x:v>1.65</x:v>
      </x:c>
      <x:c r="T83" s="41" t="n">
        <x:f>K83*S83</x:f>
        <x:v>6.6</x:v>
      </x:c>
      <x:c r="U83" t="str">
        <x:v>SCHEDULED</x:v>
      </x:c>
      <x:c r="V83" t="str">
        <x:v>Circuiting not verified.</x:v>
      </x:c>
    </x:row>
    <x:row r="84" ht="25" customHeight="1">
      <x:c r="A84" t="str">
        <x:v>Q079</x:v>
      </x:c>
      <x:c r="B84" t="str">
        <x:v>26</x:v>
      </x:c>
      <x:c r="C84" t="str">
        <x:v>Power</x:v>
      </x:c>
      <x:c r="D84" t="str">
        <x:v>Duplex receptacles incl. trim</x:v>
      </x:c>
      <x:c r="E84" t="str">
        <x:v>Z09</x:v>
      </x:c>
      <x:c r="F84" t="str">
        <x:v>E-101/P</x:v>
      </x:c>
      <x:c r="G84" s="26" t="str">
        <x:v>Room schedule duplex count</x:v>
      </x:c>
      <x:c r="H84" t="str">
        <x:v>EA</x:v>
      </x:c>
      <x:c r="I84" s="40" t="n">
        <x:f>'Zone Schedule'!L14</x:f>
        <x:v>4</x:v>
      </x:c>
      <x:c r="J84" s="40" t="n">
        <x:v>0</x:v>
      </x:c>
      <x:c r="K84" s="41" t="n">
        <x:f>ROUND(I84*(1+J84/100),2)</x:f>
        <x:v>4</x:v>
      </x:c>
      <x:c r="L84" s="40" t="n">
        <x:v>56</x:v>
      </x:c>
      <x:c r="M84" s="40" t="n">
        <x:v>105</x:v>
      </x:c>
      <x:c r="N84" s="40" t="n">
        <x:v>5</x:v>
      </x:c>
      <x:c r="O84" s="41" t="n">
        <x:f>K84*L84</x:f>
        <x:v>224</x:v>
      </x:c>
      <x:c r="P84" s="41" t="n">
        <x:f>K84*M84</x:f>
        <x:v>420</x:v>
      </x:c>
      <x:c r="Q84" s="41" t="n">
        <x:f>K84*N84</x:f>
        <x:v>20</x:v>
      </x:c>
      <x:c r="R84" s="41" t="n">
        <x:f>SUM(O84:Q84)</x:f>
        <x:v>664</x:v>
      </x:c>
      <x:c r="S84" s="40" t="n">
        <x:v>1.65</x:v>
      </x:c>
      <x:c r="T84" s="41" t="n">
        <x:f>K84*S84</x:f>
        <x:v>6.6</x:v>
      </x:c>
      <x:c r="U84" t="str">
        <x:v>SCHEDULED</x:v>
      </x:c>
      <x:c r="V84" t="str">
        <x:v>Circuiting not verified.</x:v>
      </x:c>
    </x:row>
    <x:row r="85" ht="25" customHeight="1">
      <x:c r="A85" t="str">
        <x:v>Q080</x:v>
      </x:c>
      <x:c r="B85" t="str">
        <x:v>26</x:v>
      </x:c>
      <x:c r="C85" t="str">
        <x:v>Power</x:v>
      </x:c>
      <x:c r="D85" t="str">
        <x:v>GFCI receptacle allowance</x:v>
      </x:c>
      <x:c r="E85" t="str">
        <x:v>ALL</x:v>
      </x:c>
      <x:c r="F85" t="str">
        <x:v>E-101/P</x:v>
      </x:c>
      <x:c r="G85" s="26" t="str">
        <x:v>8 assumed additional devices</x:v>
      </x:c>
      <x:c r="H85" t="str">
        <x:v>EA</x:v>
      </x:c>
      <x:c r="I85" s="40" t="n">
        <x:f>8</x:f>
        <x:v>8</x:v>
      </x:c>
      <x:c r="J85" s="40" t="n">
        <x:v>0</x:v>
      </x:c>
      <x:c r="K85" s="41" t="n">
        <x:f>ROUND(I85*(1+J85/100),2)</x:f>
        <x:v>8</x:v>
      </x:c>
      <x:c r="L85" s="40" t="n">
        <x:v>98</x:v>
      </x:c>
      <x:c r="M85" s="40" t="n">
        <x:v>125</x:v>
      </x:c>
      <x:c r="N85" s="40" t="n">
        <x:v>5</x:v>
      </x:c>
      <x:c r="O85" s="41" t="n">
        <x:f>K85*L85</x:f>
        <x:v>784</x:v>
      </x:c>
      <x:c r="P85" s="41" t="n">
        <x:f>K85*M85</x:f>
        <x:v>1000</x:v>
      </x:c>
      <x:c r="Q85" s="41" t="n">
        <x:f>K85*N85</x:f>
        <x:v>40</x:v>
      </x:c>
      <x:c r="R85" s="41" t="n">
        <x:f>SUM(O85:Q85)</x:f>
        <x:v>1824</x:v>
      </x:c>
      <x:c r="S85" s="40" t="n">
        <x:v>1.8</x:v>
      </x:c>
      <x:c r="T85" s="41" t="n">
        <x:f>K85*S85</x:f>
        <x:v>14.4</x:v>
      </x:c>
      <x:c r="U85" t="str">
        <x:v>ALLOWANCE</x:v>
      </x:c>
      <x:c r="V85" t="str"/>
    </x:row>
    <x:row r="86" ht="25" customHeight="1">
      <x:c r="A86" t="str">
        <x:v>Q081</x:v>
      </x:c>
      <x:c r="B86" t="str">
        <x:v>26</x:v>
      </x:c>
      <x:c r="C86" t="str">
        <x:v>Life Safety (partial)</x:v>
      </x:c>
      <x:c r="D86" t="str">
        <x:v>LED exit sign allowances</x:v>
      </x:c>
      <x:c r="E86" t="str">
        <x:v>CORRIDOR</x:v>
      </x:c>
      <x:c r="F86" t="str">
        <x:v>E-101/X</x:v>
      </x:c>
      <x:c r="G86" s="26" t="str">
        <x:v>4 assumed signs</x:v>
      </x:c>
      <x:c r="H86" t="str">
        <x:v>EA</x:v>
      </x:c>
      <x:c r="I86" s="40" t="n">
        <x:f>Inputs!B42</x:f>
        <x:v>4</x:v>
      </x:c>
      <x:c r="J86" s="40" t="n">
        <x:v>0</x:v>
      </x:c>
      <x:c r="K86" s="41" t="n">
        <x:f>ROUND(I86*(1+J86/100),2)</x:f>
        <x:v>4</x:v>
      </x:c>
      <x:c r="L86" s="40" t="n">
        <x:v>220</x:v>
      </x:c>
      <x:c r="M86" s="40" t="n">
        <x:v>180</x:v>
      </x:c>
      <x:c r="N86" s="40" t="n">
        <x:v>10</x:v>
      </x:c>
      <x:c r="O86" s="41" t="n">
        <x:f>K86*L86</x:f>
        <x:v>880</x:v>
      </x:c>
      <x:c r="P86" s="41" t="n">
        <x:f>K86*M86</x:f>
        <x:v>720</x:v>
      </x:c>
      <x:c r="Q86" s="41" t="n">
        <x:f>K86*N86</x:f>
        <x:v>40</x:v>
      </x:c>
      <x:c r="R86" s="41" t="n">
        <x:f>SUM(O86:Q86)</x:f>
        <x:v>1640</x:v>
      </x:c>
      <x:c r="S86" s="40" t="n">
        <x:v>2.8</x:v>
      </x:c>
      <x:c r="T86" s="41" t="n">
        <x:f>K86*S86</x:f>
        <x:v>11.2</x:v>
      </x:c>
      <x:c r="U86" t="str">
        <x:v>ALLOWANCE</x:v>
      </x:c>
      <x:c r="V86" t="str">
        <x:v>Code / AHJ determination not included.</x:v>
      </x:c>
    </x:row>
    <x:row r="87" ht="25" customHeight="1">
      <x:c r="A87" t="str">
        <x:v>Q082</x:v>
      </x:c>
      <x:c r="B87" t="str">
        <x:v>26</x:v>
      </x:c>
      <x:c r="C87" t="str">
        <x:v>Life Safety (partial)</x:v>
      </x:c>
      <x:c r="D87" t="str">
        <x:v>Emergency light unit allowances</x:v>
      </x:c>
      <x:c r="E87" t="str">
        <x:v>CORRIDOR</x:v>
      </x:c>
      <x:c r="F87" t="str">
        <x:v>E-101/X</x:v>
      </x:c>
      <x:c r="G87" s="26" t="str">
        <x:v>8 assumed heads</x:v>
      </x:c>
      <x:c r="H87" t="str">
        <x:v>EA</x:v>
      </x:c>
      <x:c r="I87" s="40" t="n">
        <x:f>Inputs!B43</x:f>
        <x:v>8</x:v>
      </x:c>
      <x:c r="J87" s="40" t="n">
        <x:v>0</x:v>
      </x:c>
      <x:c r="K87" s="41" t="n">
        <x:f>ROUND(I87*(1+J87/100),2)</x:f>
        <x:v>8</x:v>
      </x:c>
      <x:c r="L87" s="40" t="n">
        <x:v>170</x:v>
      </x:c>
      <x:c r="M87" s="40" t="n">
        <x:v>135</x:v>
      </x:c>
      <x:c r="N87" s="40" t="n">
        <x:v>8</x:v>
      </x:c>
      <x:c r="O87" s="41" t="n">
        <x:f>K87*L87</x:f>
        <x:v>1360</x:v>
      </x:c>
      <x:c r="P87" s="41" t="n">
        <x:f>K87*M87</x:f>
        <x:v>1080</x:v>
      </x:c>
      <x:c r="Q87" s="41" t="n">
        <x:f>K87*N87</x:f>
        <x:v>64</x:v>
      </x:c>
      <x:c r="R87" s="41" t="n">
        <x:f>SUM(O87:Q87)</x:f>
        <x:v>2504</x:v>
      </x:c>
      <x:c r="S87" s="40" t="n">
        <x:v>2.2</x:v>
      </x:c>
      <x:c r="T87" s="41" t="n">
        <x:f>K87*S87</x:f>
        <x:v>17.6</x:v>
      </x:c>
      <x:c r="U87" t="str">
        <x:v>ALLOWANCE</x:v>
      </x:c>
      <x:c r="V87" t="str">
        <x:v>Requires life-safety design.</x:v>
      </x:c>
    </x:row>
    <x:row r="88" ht="25" customHeight="1">
      <x:c r="A88" t="str">
        <x:v>Q083</x:v>
      </x:c>
      <x:c r="B88" t="str">
        <x:v>26</x:v>
      </x:c>
      <x:c r="C88" t="str">
        <x:v>Distribution (partial)</x:v>
      </x:c>
      <x:c r="D88" t="str">
        <x:v>New branch circuits budget count</x:v>
      </x:c>
      <x:c r="E88" t="str">
        <x:v>ALL</x:v>
      </x:c>
      <x:c r="F88" t="str">
        <x:v>E-101/C</x:v>
      </x:c>
      <x:c r="G88" s="26" t="str">
        <x:v>18 assumed circuits</x:v>
      </x:c>
      <x:c r="H88" t="str">
        <x:v>EA</x:v>
      </x:c>
      <x:c r="I88" s="40" t="n">
        <x:f>Inputs!B44</x:f>
        <x:v>18</x:v>
      </x:c>
      <x:c r="J88" s="40" t="n">
        <x:v>0</x:v>
      </x:c>
      <x:c r="K88" s="41" t="n">
        <x:f>ROUND(I88*(1+J88/100),2)</x:f>
        <x:v>18</x:v>
      </x:c>
      <x:c r="L88" s="40" t="n">
        <x:v>195</x:v>
      </x:c>
      <x:c r="M88" s="40" t="n">
        <x:v>290</x:v>
      </x:c>
      <x:c r="N88" s="40" t="n">
        <x:v>15</x:v>
      </x:c>
      <x:c r="O88" s="41" t="n">
        <x:f>K88*L88</x:f>
        <x:v>3510</x:v>
      </x:c>
      <x:c r="P88" s="41" t="n">
        <x:f>K88*M88</x:f>
        <x:v>5220</x:v>
      </x:c>
      <x:c r="Q88" s="41" t="n">
        <x:f>K88*N88</x:f>
        <x:v>270</x:v>
      </x:c>
      <x:c r="R88" s="41" t="n">
        <x:f>SUM(O88:Q88)</x:f>
        <x:v>9000</x:v>
      </x:c>
      <x:c r="S88" s="40" t="n">
        <x:v>5</x:v>
      </x:c>
      <x:c r="T88" s="41" t="n">
        <x:f>K88*S88</x:f>
        <x:v>90</x:v>
      </x:c>
      <x:c r="U88" t="str">
        <x:v>ALLOWANCE</x:v>
      </x:c>
      <x:c r="V88" t="str"/>
    </x:row>
    <x:row r="89" ht="25" customHeight="1">
      <x:c r="A89" t="str">
        <x:v>Q084</x:v>
      </x:c>
      <x:c r="B89" t="str">
        <x:v>26</x:v>
      </x:c>
      <x:c r="C89" t="str">
        <x:v>Distribution (partial)</x:v>
      </x:c>
      <x:c r="D89" t="str">
        <x:v>Conduit / boxes routing allowance</x:v>
      </x:c>
      <x:c r="E89" t="str">
        <x:v>ALL</x:v>
      </x:c>
      <x:c r="F89" t="str">
        <x:v>E-101/C</x:v>
      </x:c>
      <x:c r="G89" s="26" t="str">
        <x:v>2,400LF schematic allowance</x:v>
      </x:c>
      <x:c r="H89" t="str">
        <x:v>LF</x:v>
      </x:c>
      <x:c r="I89" s="40" t="n">
        <x:f>Inputs!B38</x:f>
        <x:v>2400</x:v>
      </x:c>
      <x:c r="J89" s="40" t="n">
        <x:v>5</x:v>
      </x:c>
      <x:c r="K89" s="41" t="n">
        <x:f>ROUND(I89*(1+J89/100),2)</x:f>
        <x:v>2520</x:v>
      </x:c>
      <x:c r="L89" s="40" t="n">
        <x:v>2.8</x:v>
      </x:c>
      <x:c r="M89" s="40" t="n">
        <x:v>3</x:v>
      </x:c>
      <x:c r="N89" s="40" t="n">
        <x:v>0.2</x:v>
      </x:c>
      <x:c r="O89" s="41" t="n">
        <x:f>K89*L89</x:f>
        <x:v>7056</x:v>
      </x:c>
      <x:c r="P89" s="41" t="n">
        <x:f>K89*M89</x:f>
        <x:v>7560</x:v>
      </x:c>
      <x:c r="Q89" s="41" t="n">
        <x:f>K89*N89</x:f>
        <x:v>504</x:v>
      </x:c>
      <x:c r="R89" s="41" t="n">
        <x:f>SUM(O89:Q89)</x:f>
        <x:v>15120</x:v>
      </x:c>
      <x:c r="S89" s="40" t="n">
        <x:v>0.065</x:v>
      </x:c>
      <x:c r="T89" s="41" t="n">
        <x:f>K89*S89</x:f>
        <x:v>163.8</x:v>
      </x:c>
      <x:c r="U89" t="str">
        <x:v>ALLOWANCE</x:v>
      </x:c>
      <x:c r="V89" t="str"/>
    </x:row>
    <x:row r="90" ht="25" customHeight="1">
      <x:c r="A90" t="str">
        <x:v>Q085</x:v>
      </x:c>
      <x:c r="B90" t="str">
        <x:v>26</x:v>
      </x:c>
      <x:c r="C90" t="str">
        <x:v>Distribution (partial)</x:v>
      </x:c>
      <x:c r="D90" t="str">
        <x:v>Branch conductors allowance</x:v>
      </x:c>
      <x:c r="E90" t="str">
        <x:v>ALL</x:v>
      </x:c>
      <x:c r="F90" t="str">
        <x:v>E-101/C</x:v>
      </x:c>
      <x:c r="G90" s="26" t="str">
        <x:v>7,200LF route multiple</x:v>
      </x:c>
      <x:c r="H90" t="str">
        <x:v>LF</x:v>
      </x:c>
      <x:c r="I90" s="40" t="n">
        <x:f>Inputs!B39</x:f>
        <x:v>7200</x:v>
      </x:c>
      <x:c r="J90" s="40" t="n">
        <x:v>5</x:v>
      </x:c>
      <x:c r="K90" s="41" t="n">
        <x:f>ROUND(I90*(1+J90/100),2)</x:f>
        <x:v>7560</x:v>
      </x:c>
      <x:c r="L90" s="40" t="n">
        <x:v>1.15</x:v>
      </x:c>
      <x:c r="M90" s="40" t="n">
        <x:v>1.2</x:v>
      </x:c>
      <x:c r="N90" s="40" t="n">
        <x:v>0.1</x:v>
      </x:c>
      <x:c r="O90" s="41" t="n">
        <x:f>K90*L90</x:f>
        <x:v>8694</x:v>
      </x:c>
      <x:c r="P90" s="41" t="n">
        <x:f>K90*M90</x:f>
        <x:v>9072</x:v>
      </x:c>
      <x:c r="Q90" s="41" t="n">
        <x:f>K90*N90</x:f>
        <x:v>756</x:v>
      </x:c>
      <x:c r="R90" s="41" t="n">
        <x:f>SUM(O90:Q90)</x:f>
        <x:v>18522</x:v>
      </x:c>
      <x:c r="S90" s="40" t="n">
        <x:v>0.038</x:v>
      </x:c>
      <x:c r="T90" s="41" t="n">
        <x:f>K90*S90</x:f>
        <x:v>287.28</x:v>
      </x:c>
      <x:c r="U90" t="str">
        <x:v>ALLOWANCE</x:v>
      </x:c>
      <x:c r="V90" t="str"/>
    </x:row>
    <x:row r="91" ht="25" customHeight="1">
      <x:c r="A91" t="str">
        <x:v>Q086</x:v>
      </x:c>
      <x:c r="B91" t="str">
        <x:v>27</x:v>
      </x:c>
      <x:c r="C91" t="str">
        <x:v>Data / Low Voltage</x:v>
      </x:c>
      <x:c r="D91" t="str">
        <x:v>Cat6 data outlet / faceplate</x:v>
      </x:c>
      <x:c r="E91" t="str">
        <x:v>Z01</x:v>
      </x:c>
      <x:c r="F91" t="str">
        <x:v>E-101/D</x:v>
      </x:c>
      <x:c r="G91" s="26" t="str">
        <x:v>Room schedule data point count</x:v>
      </x:c>
      <x:c r="H91" t="str">
        <x:v>EA</x:v>
      </x:c>
      <x:c r="I91" s="40" t="n">
        <x:f>'Zone Schedule'!M6</x:f>
        <x:v>4</x:v>
      </x:c>
      <x:c r="J91" s="40" t="n">
        <x:v>0</x:v>
      </x:c>
      <x:c r="K91" s="41" t="n">
        <x:f>ROUND(I91*(1+J91/100),2)</x:f>
        <x:v>4</x:v>
      </x:c>
      <x:c r="L91" s="40" t="n">
        <x:v>85</x:v>
      </x:c>
      <x:c r="M91" s="40" t="n">
        <x:v>130</x:v>
      </x:c>
      <x:c r="N91" s="40" t="n">
        <x:v>5</x:v>
      </x:c>
      <x:c r="O91" s="41" t="n">
        <x:f>K91*L91</x:f>
        <x:v>340</x:v>
      </x:c>
      <x:c r="P91" s="41" t="n">
        <x:f>K91*M91</x:f>
        <x:v>520</x:v>
      </x:c>
      <x:c r="Q91" s="41" t="n">
        <x:f>K91*N91</x:f>
        <x:v>20</x:v>
      </x:c>
      <x:c r="R91" s="41" t="n">
        <x:f>SUM(O91:Q91)</x:f>
        <x:v>880</x:v>
      </x:c>
      <x:c r="S91" s="40" t="n">
        <x:v>2</x:v>
      </x:c>
      <x:c r="T91" s="41" t="n">
        <x:f>K91*S91</x:f>
        <x:v>8</x:v>
      </x:c>
      <x:c r="U91" t="str">
        <x:v>SCHEDULED</x:v>
      </x:c>
      <x:c r="V91" t="str">
        <x:v>Certification and switch equipment excluded.</x:v>
      </x:c>
    </x:row>
    <x:row r="92" ht="25" customHeight="1">
      <x:c r="A92" t="str">
        <x:v>Q087</x:v>
      </x:c>
      <x:c r="B92" t="str">
        <x:v>27</x:v>
      </x:c>
      <x:c r="C92" t="str">
        <x:v>Data / Low Voltage</x:v>
      </x:c>
      <x:c r="D92" t="str">
        <x:v>Cat6 data outlet / faceplate</x:v>
      </x:c>
      <x:c r="E92" t="str">
        <x:v>Z02</x:v>
      </x:c>
      <x:c r="F92" t="str">
        <x:v>E-101/D</x:v>
      </x:c>
      <x:c r="G92" s="26" t="str">
        <x:v>Room schedule data point count</x:v>
      </x:c>
      <x:c r="H92" t="str">
        <x:v>EA</x:v>
      </x:c>
      <x:c r="I92" s="40" t="n">
        <x:f>'Zone Schedule'!M7</x:f>
        <x:v>8</x:v>
      </x:c>
      <x:c r="J92" s="40" t="n">
        <x:v>0</x:v>
      </x:c>
      <x:c r="K92" s="41" t="n">
        <x:f>ROUND(I92*(1+J92/100),2)</x:f>
        <x:v>8</x:v>
      </x:c>
      <x:c r="L92" s="40" t="n">
        <x:v>85</x:v>
      </x:c>
      <x:c r="M92" s="40" t="n">
        <x:v>130</x:v>
      </x:c>
      <x:c r="N92" s="40" t="n">
        <x:v>5</x:v>
      </x:c>
      <x:c r="O92" s="41" t="n">
        <x:f>K92*L92</x:f>
        <x:v>680</x:v>
      </x:c>
      <x:c r="P92" s="41" t="n">
        <x:f>K92*M92</x:f>
        <x:v>1040</x:v>
      </x:c>
      <x:c r="Q92" s="41" t="n">
        <x:f>K92*N92</x:f>
        <x:v>40</x:v>
      </x:c>
      <x:c r="R92" s="41" t="n">
        <x:f>SUM(O92:Q92)</x:f>
        <x:v>1760</x:v>
      </x:c>
      <x:c r="S92" s="40" t="n">
        <x:v>2</x:v>
      </x:c>
      <x:c r="T92" s="41" t="n">
        <x:f>K92*S92</x:f>
        <x:v>16</x:v>
      </x:c>
      <x:c r="U92" t="str">
        <x:v>SCHEDULED</x:v>
      </x:c>
      <x:c r="V92" t="str">
        <x:v>Certification and switch equipment excluded.</x:v>
      </x:c>
    </x:row>
    <x:row r="93" ht="25" customHeight="1">
      <x:c r="A93" t="str">
        <x:v>Q088</x:v>
      </x:c>
      <x:c r="B93" t="str">
        <x:v>27</x:v>
      </x:c>
      <x:c r="C93" t="str">
        <x:v>Data / Low Voltage</x:v>
      </x:c>
      <x:c r="D93" t="str">
        <x:v>Cat6 data outlet / faceplate</x:v>
      </x:c>
      <x:c r="E93" t="str">
        <x:v>Z03</x:v>
      </x:c>
      <x:c r="F93" t="str">
        <x:v>E-101/D</x:v>
      </x:c>
      <x:c r="G93" s="26" t="str">
        <x:v>Room schedule data point count</x:v>
      </x:c>
      <x:c r="H93" t="str">
        <x:v>EA</x:v>
      </x:c>
      <x:c r="I93" s="40" t="n">
        <x:f>'Zone Schedule'!M8</x:f>
        <x:v>5</x:v>
      </x:c>
      <x:c r="J93" s="40" t="n">
        <x:v>0</x:v>
      </x:c>
      <x:c r="K93" s="41" t="n">
        <x:f>ROUND(I93*(1+J93/100),2)</x:f>
        <x:v>5</x:v>
      </x:c>
      <x:c r="L93" s="40" t="n">
        <x:v>85</x:v>
      </x:c>
      <x:c r="M93" s="40" t="n">
        <x:v>130</x:v>
      </x:c>
      <x:c r="N93" s="40" t="n">
        <x:v>5</x:v>
      </x:c>
      <x:c r="O93" s="41" t="n">
        <x:f>K93*L93</x:f>
        <x:v>425</x:v>
      </x:c>
      <x:c r="P93" s="41" t="n">
        <x:f>K93*M93</x:f>
        <x:v>650</x:v>
      </x:c>
      <x:c r="Q93" s="41" t="n">
        <x:f>K93*N93</x:f>
        <x:v>25</x:v>
      </x:c>
      <x:c r="R93" s="41" t="n">
        <x:f>SUM(O93:Q93)</x:f>
        <x:v>1100</x:v>
      </x:c>
      <x:c r="S93" s="40" t="n">
        <x:v>2</x:v>
      </x:c>
      <x:c r="T93" s="41" t="n">
        <x:f>K93*S93</x:f>
        <x:v>10</x:v>
      </x:c>
      <x:c r="U93" t="str">
        <x:v>SCHEDULED</x:v>
      </x:c>
      <x:c r="V93" t="str">
        <x:v>Certification and switch equipment excluded.</x:v>
      </x:c>
    </x:row>
    <x:row r="94" ht="25" customHeight="1">
      <x:c r="A94" t="str">
        <x:v>Q089</x:v>
      </x:c>
      <x:c r="B94" t="str">
        <x:v>27</x:v>
      </x:c>
      <x:c r="C94" t="str">
        <x:v>Data / Low Voltage</x:v>
      </x:c>
      <x:c r="D94" t="str">
        <x:v>Cat6 data outlet / faceplate</x:v>
      </x:c>
      <x:c r="E94" t="str">
        <x:v>Z04</x:v>
      </x:c>
      <x:c r="F94" t="str">
        <x:v>E-101/D</x:v>
      </x:c>
      <x:c r="G94" s="26" t="str">
        <x:v>Room schedule data point count</x:v>
      </x:c>
      <x:c r="H94" t="str">
        <x:v>EA</x:v>
      </x:c>
      <x:c r="I94" s="40" t="n">
        <x:f>'Zone Schedule'!M9</x:f>
        <x:v>5</x:v>
      </x:c>
      <x:c r="J94" s="40" t="n">
        <x:v>0</x:v>
      </x:c>
      <x:c r="K94" s="41" t="n">
        <x:f>ROUND(I94*(1+J94/100),2)</x:f>
        <x:v>5</x:v>
      </x:c>
      <x:c r="L94" s="40" t="n">
        <x:v>85</x:v>
      </x:c>
      <x:c r="M94" s="40" t="n">
        <x:v>130</x:v>
      </x:c>
      <x:c r="N94" s="40" t="n">
        <x:v>5</x:v>
      </x:c>
      <x:c r="O94" s="41" t="n">
        <x:f>K94*L94</x:f>
        <x:v>425</x:v>
      </x:c>
      <x:c r="P94" s="41" t="n">
        <x:f>K94*M94</x:f>
        <x:v>650</x:v>
      </x:c>
      <x:c r="Q94" s="41" t="n">
        <x:f>K94*N94</x:f>
        <x:v>25</x:v>
      </x:c>
      <x:c r="R94" s="41" t="n">
        <x:f>SUM(O94:Q94)</x:f>
        <x:v>1100</x:v>
      </x:c>
      <x:c r="S94" s="40" t="n">
        <x:v>2</x:v>
      </x:c>
      <x:c r="T94" s="41" t="n">
        <x:f>K94*S94</x:f>
        <x:v>10</x:v>
      </x:c>
      <x:c r="U94" t="str">
        <x:v>SCHEDULED</x:v>
      </x:c>
      <x:c r="V94" t="str">
        <x:v>Certification and switch equipment excluded.</x:v>
      </x:c>
    </x:row>
    <x:row r="95" ht="25" customHeight="1">
      <x:c r="A95" t="str">
        <x:v>Q090</x:v>
      </x:c>
      <x:c r="B95" t="str">
        <x:v>27</x:v>
      </x:c>
      <x:c r="C95" t="str">
        <x:v>Data / Low Voltage</x:v>
      </x:c>
      <x:c r="D95" t="str">
        <x:v>Cat6 data outlet / faceplate</x:v>
      </x:c>
      <x:c r="E95" t="str">
        <x:v>Z05</x:v>
      </x:c>
      <x:c r="F95" t="str">
        <x:v>E-101/D</x:v>
      </x:c>
      <x:c r="G95" s="26" t="str">
        <x:v>Room schedule data point count</x:v>
      </x:c>
      <x:c r="H95" t="str">
        <x:v>EA</x:v>
      </x:c>
      <x:c r="I95" s="40" t="n">
        <x:f>'Zone Schedule'!M10</x:f>
        <x:v>8</x:v>
      </x:c>
      <x:c r="J95" s="40" t="n">
        <x:v>0</x:v>
      </x:c>
      <x:c r="K95" s="41" t="n">
        <x:f>ROUND(I95*(1+J95/100),2)</x:f>
        <x:v>8</x:v>
      </x:c>
      <x:c r="L95" s="40" t="n">
        <x:v>85</x:v>
      </x:c>
      <x:c r="M95" s="40" t="n">
        <x:v>130</x:v>
      </x:c>
      <x:c r="N95" s="40" t="n">
        <x:v>5</x:v>
      </x:c>
      <x:c r="O95" s="41" t="n">
        <x:f>K95*L95</x:f>
        <x:v>680</x:v>
      </x:c>
      <x:c r="P95" s="41" t="n">
        <x:f>K95*M95</x:f>
        <x:v>1040</x:v>
      </x:c>
      <x:c r="Q95" s="41" t="n">
        <x:f>K95*N95</x:f>
        <x:v>40</x:v>
      </x:c>
      <x:c r="R95" s="41" t="n">
        <x:f>SUM(O95:Q95)</x:f>
        <x:v>1760</x:v>
      </x:c>
      <x:c r="S95" s="40" t="n">
        <x:v>2</x:v>
      </x:c>
      <x:c r="T95" s="41" t="n">
        <x:f>K95*S95</x:f>
        <x:v>16</x:v>
      </x:c>
      <x:c r="U95" t="str">
        <x:v>SCHEDULED</x:v>
      </x:c>
      <x:c r="V95" t="str">
        <x:v>Certification and switch equipment excluded.</x:v>
      </x:c>
    </x:row>
    <x:row r="96" ht="25" customHeight="1">
      <x:c r="A96" t="str">
        <x:v>Q091</x:v>
      </x:c>
      <x:c r="B96" t="str">
        <x:v>27</x:v>
      </x:c>
      <x:c r="C96" t="str">
        <x:v>Data / Low Voltage</x:v>
      </x:c>
      <x:c r="D96" t="str">
        <x:v>Cat6 data outlet / faceplate</x:v>
      </x:c>
      <x:c r="E96" t="str">
        <x:v>Z06</x:v>
      </x:c>
      <x:c r="F96" t="str">
        <x:v>E-101/D</x:v>
      </x:c>
      <x:c r="G96" s="26" t="str">
        <x:v>Room schedule data point count</x:v>
      </x:c>
      <x:c r="H96" t="str">
        <x:v>EA</x:v>
      </x:c>
      <x:c r="I96" s="40" t="n">
        <x:f>'Zone Schedule'!M11</x:f>
        <x:v>8</x:v>
      </x:c>
      <x:c r="J96" s="40" t="n">
        <x:v>0</x:v>
      </x:c>
      <x:c r="K96" s="41" t="n">
        <x:f>ROUND(I96*(1+J96/100),2)</x:f>
        <x:v>8</x:v>
      </x:c>
      <x:c r="L96" s="40" t="n">
        <x:v>85</x:v>
      </x:c>
      <x:c r="M96" s="40" t="n">
        <x:v>130</x:v>
      </x:c>
      <x:c r="N96" s="40" t="n">
        <x:v>5</x:v>
      </x:c>
      <x:c r="O96" s="41" t="n">
        <x:f>K96*L96</x:f>
        <x:v>680</x:v>
      </x:c>
      <x:c r="P96" s="41" t="n">
        <x:f>K96*M96</x:f>
        <x:v>1040</x:v>
      </x:c>
      <x:c r="Q96" s="41" t="n">
        <x:f>K96*N96</x:f>
        <x:v>40</x:v>
      </x:c>
      <x:c r="R96" s="41" t="n">
        <x:f>SUM(O96:Q96)</x:f>
        <x:v>1760</x:v>
      </x:c>
      <x:c r="S96" s="40" t="n">
        <x:v>2</x:v>
      </x:c>
      <x:c r="T96" s="41" t="n">
        <x:f>K96*S96</x:f>
        <x:v>16</x:v>
      </x:c>
      <x:c r="U96" t="str">
        <x:v>SCHEDULED</x:v>
      </x:c>
      <x:c r="V96" t="str">
        <x:v>Certification and switch equipment excluded.</x:v>
      </x:c>
    </x:row>
    <x:row r="97" ht="25" customHeight="1">
      <x:c r="A97" t="str">
        <x:v>Q092</x:v>
      </x:c>
      <x:c r="B97" t="str">
        <x:v>27</x:v>
      </x:c>
      <x:c r="C97" t="str">
        <x:v>Data / Low Voltage</x:v>
      </x:c>
      <x:c r="D97" t="str">
        <x:v>Cat6 data outlet / faceplate</x:v>
      </x:c>
      <x:c r="E97" t="str">
        <x:v>Z07</x:v>
      </x:c>
      <x:c r="F97" t="str">
        <x:v>E-101/D</x:v>
      </x:c>
      <x:c r="G97" s="26" t="str">
        <x:v>Room schedule data point count</x:v>
      </x:c>
      <x:c r="H97" t="str">
        <x:v>EA</x:v>
      </x:c>
      <x:c r="I97" s="40" t="n">
        <x:f>'Zone Schedule'!M12</x:f>
        <x:v>2</x:v>
      </x:c>
      <x:c r="J97" s="40" t="n">
        <x:v>0</x:v>
      </x:c>
      <x:c r="K97" s="41" t="n">
        <x:f>ROUND(I97*(1+J97/100),2)</x:f>
        <x:v>2</x:v>
      </x:c>
      <x:c r="L97" s="40" t="n">
        <x:v>85</x:v>
      </x:c>
      <x:c r="M97" s="40" t="n">
        <x:v>130</x:v>
      </x:c>
      <x:c r="N97" s="40" t="n">
        <x:v>5</x:v>
      </x:c>
      <x:c r="O97" s="41" t="n">
        <x:f>K97*L97</x:f>
        <x:v>170</x:v>
      </x:c>
      <x:c r="P97" s="41" t="n">
        <x:f>K97*M97</x:f>
        <x:v>260</x:v>
      </x:c>
      <x:c r="Q97" s="41" t="n">
        <x:f>K97*N97</x:f>
        <x:v>10</x:v>
      </x:c>
      <x:c r="R97" s="41" t="n">
        <x:f>SUM(O97:Q97)</x:f>
        <x:v>440</x:v>
      </x:c>
      <x:c r="S97" s="40" t="n">
        <x:v>2</x:v>
      </x:c>
      <x:c r="T97" s="41" t="n">
        <x:f>K97*S97</x:f>
        <x:v>4</x:v>
      </x:c>
      <x:c r="U97" t="str">
        <x:v>SCHEDULED</x:v>
      </x:c>
      <x:c r="V97" t="str">
        <x:v>Certification and switch equipment excluded.</x:v>
      </x:c>
    </x:row>
    <x:row r="98" ht="25" customHeight="1">
      <x:c r="A98" t="str">
        <x:v>Q093</x:v>
      </x:c>
      <x:c r="B98" t="str">
        <x:v>27</x:v>
      </x:c>
      <x:c r="C98" t="str">
        <x:v>Data / Low Voltage</x:v>
      </x:c>
      <x:c r="D98" t="str">
        <x:v>Cat6 data outlet / faceplate</x:v>
      </x:c>
      <x:c r="E98" t="str">
        <x:v>Z08</x:v>
      </x:c>
      <x:c r="F98" t="str">
        <x:v>E-101/D</x:v>
      </x:c>
      <x:c r="G98" s="26" t="str">
        <x:v>Room schedule data point count</x:v>
      </x:c>
      <x:c r="H98" t="str">
        <x:v>EA</x:v>
      </x:c>
      <x:c r="I98" s="40" t="n">
        <x:f>'Zone Schedule'!M13</x:f>
        <x:v>2</x:v>
      </x:c>
      <x:c r="J98" s="40" t="n">
        <x:v>0</x:v>
      </x:c>
      <x:c r="K98" s="41" t="n">
        <x:f>ROUND(I98*(1+J98/100),2)</x:f>
        <x:v>2</x:v>
      </x:c>
      <x:c r="L98" s="40" t="n">
        <x:v>85</x:v>
      </x:c>
      <x:c r="M98" s="40" t="n">
        <x:v>130</x:v>
      </x:c>
      <x:c r="N98" s="40" t="n">
        <x:v>5</x:v>
      </x:c>
      <x:c r="O98" s="41" t="n">
        <x:f>K98*L98</x:f>
        <x:v>170</x:v>
      </x:c>
      <x:c r="P98" s="41" t="n">
        <x:f>K98*M98</x:f>
        <x:v>260</x:v>
      </x:c>
      <x:c r="Q98" s="41" t="n">
        <x:f>K98*N98</x:f>
        <x:v>10</x:v>
      </x:c>
      <x:c r="R98" s="41" t="n">
        <x:f>SUM(O98:Q98)</x:f>
        <x:v>440</x:v>
      </x:c>
      <x:c r="S98" s="40" t="n">
        <x:v>2</x:v>
      </x:c>
      <x:c r="T98" s="41" t="n">
        <x:f>K98*S98</x:f>
        <x:v>4</x:v>
      </x:c>
      <x:c r="U98" t="str">
        <x:v>SCHEDULED</x:v>
      </x:c>
      <x:c r="V98" t="str">
        <x:v>Certification and switch equipment excluded.</x:v>
      </x:c>
    </x:row>
    <x:row r="99" ht="25" customHeight="1">
      <x:c r="A99" t="str">
        <x:v>Q094</x:v>
      </x:c>
      <x:c r="B99" t="str">
        <x:v>27</x:v>
      </x:c>
      <x:c r="C99" t="str">
        <x:v>Data / Low Voltage</x:v>
      </x:c>
      <x:c r="D99" t="str">
        <x:v>Cat6 cable pulls - allowance</x:v>
      </x:c>
      <x:c r="E99" t="str">
        <x:v>ALL</x:v>
      </x:c>
      <x:c r="F99" t="str">
        <x:v>E-101/D</x:v>
      </x:c>
      <x:c r="G99" s="26" t="str">
        <x:v>4,200LF assumed cables</x:v>
      </x:c>
      <x:c r="H99" t="str">
        <x:v>LF</x:v>
      </x:c>
      <x:c r="I99" s="40" t="n">
        <x:f>Inputs!B40</x:f>
        <x:v>4200</x:v>
      </x:c>
      <x:c r="J99" s="40" t="n">
        <x:v>5</x:v>
      </x:c>
      <x:c r="K99" s="41" t="n">
        <x:f>ROUND(I99*(1+J99/100),2)</x:f>
        <x:v>4410</x:v>
      </x:c>
      <x:c r="L99" s="40" t="n">
        <x:v>0.78</x:v>
      </x:c>
      <x:c r="M99" s="40" t="n">
        <x:v>1</x:v>
      </x:c>
      <x:c r="N99" s="40" t="n">
        <x:v>0.05</x:v>
      </x:c>
      <x:c r="O99" s="41" t="n">
        <x:f>K99*L99</x:f>
        <x:v>3439.8</x:v>
      </x:c>
      <x:c r="P99" s="41" t="n">
        <x:f>K99*M99</x:f>
        <x:v>4410</x:v>
      </x:c>
      <x:c r="Q99" s="41" t="n">
        <x:f>K99*N99</x:f>
        <x:v>220.5</x:v>
      </x:c>
      <x:c r="R99" s="41" t="n">
        <x:f>SUM(O99:Q99)</x:f>
        <x:v>8070.3</x:v>
      </x:c>
      <x:c r="S99" s="40" t="n">
        <x:v>0.03</x:v>
      </x:c>
      <x:c r="T99" s="41" t="n">
        <x:f>K99*S99</x:f>
        <x:v>132.29999999999998</x:v>
      </x:c>
      <x:c r="U99" t="str">
        <x:v>ALLOWANCE</x:v>
      </x:c>
      <x:c r="V99" t="str"/>
    </x:row>
    <x:row r="100" ht="25" customHeight="1">
      <x:c r="A100" t="str">
        <x:v>Q095</x:v>
      </x:c>
      <x:c r="B100" t="str">
        <x:v>27</x:v>
      </x:c>
      <x:c r="C100" t="str">
        <x:v>Data / Low Voltage</x:v>
      </x:c>
      <x:c r="D100" t="str">
        <x:v>Data patch panels</x:v>
      </x:c>
      <x:c r="E100" t="str">
        <x:v>Z08</x:v>
      </x:c>
      <x:c r="F100" t="str">
        <x:v>E-101/D</x:v>
      </x:c>
      <x:c r="G100" s="26" t="str">
        <x:v>2 patch panels allowance</x:v>
      </x:c>
      <x:c r="H100" t="str">
        <x:v>EA</x:v>
      </x:c>
      <x:c r="I100" s="40" t="n">
        <x:f>2</x:f>
        <x:v>2</x:v>
      </x:c>
      <x:c r="J100" s="40" t="n">
        <x:v>0</x:v>
      </x:c>
      <x:c r="K100" s="41" t="n">
        <x:f>ROUND(I100*(1+J100/100),2)</x:f>
        <x:v>2</x:v>
      </x:c>
      <x:c r="L100" s="40" t="n">
        <x:v>260</x:v>
      </x:c>
      <x:c r="M100" s="40" t="n">
        <x:v>185</x:v>
      </x:c>
      <x:c r="N100" s="40" t="n">
        <x:v>8</x:v>
      </x:c>
      <x:c r="O100" s="41" t="n">
        <x:f>K100*L100</x:f>
        <x:v>520</x:v>
      </x:c>
      <x:c r="P100" s="41" t="n">
        <x:f>K100*M100</x:f>
        <x:v>370</x:v>
      </x:c>
      <x:c r="Q100" s="41" t="n">
        <x:f>K100*N100</x:f>
        <x:v>16</x:v>
      </x:c>
      <x:c r="R100" s="41" t="n">
        <x:f>SUM(O100:Q100)</x:f>
        <x:v>906</x:v>
      </x:c>
      <x:c r="S100" s="40" t="n">
        <x:v>4</x:v>
      </x:c>
      <x:c r="T100" s="41" t="n">
        <x:f>K100*S100</x:f>
        <x:v>8</x:v>
      </x:c>
      <x:c r="U100" t="str">
        <x:v>ALLOWANCE</x:v>
      </x:c>
      <x:c r="V100" t="str"/>
    </x:row>
    <x:row r="101" ht="25" customHeight="1">
      <x:c r="A101" t="str">
        <x:v>Q096</x:v>
      </x:c>
      <x:c r="B101" t="str">
        <x:v>01</x:v>
      </x:c>
      <x:c r="C101" t="str">
        <x:v>General Conditions</x:v>
      </x:c>
      <x:c r="D101" t="str">
        <x:v>Final cleanup and punch support</x:v>
      </x:c>
      <x:c r="E101" t="str">
        <x:v>ALL</x:v>
      </x:c>
      <x:c r="F101" t="str">
        <x:v>G-001</x:v>
      </x:c>
      <x:c r="G101" s="26" t="str">
        <x:v>9600 SF floor area</x:v>
      </x:c>
      <x:c r="H101" t="str">
        <x:v>SF</x:v>
      </x:c>
      <x:c r="I101" s="40" t="n">
        <x:f>SUM('Zone Schedule'!E6:E14)</x:f>
        <x:v>9600</x:v>
      </x:c>
      <x:c r="J101" s="40" t="n">
        <x:v>0</x:v>
      </x:c>
      <x:c r="K101" s="41" t="n">
        <x:f>ROUND(I101*(1+J101/100),2)</x:f>
        <x:v>9600</x:v>
      </x:c>
      <x:c r="L101" s="40" t="n">
        <x:v>0.25</x:v>
      </x:c>
      <x:c r="M101" s="40" t="n">
        <x:v>0.7</x:v>
      </x:c>
      <x:c r="N101" s="40" t="n">
        <x:v>0.06</x:v>
      </x:c>
      <x:c r="O101" s="41" t="n">
        <x:f>K101*L101</x:f>
        <x:v>2400</x:v>
      </x:c>
      <x:c r="P101" s="41" t="n">
        <x:f>K101*M101</x:f>
        <x:v>6720</x:v>
      </x:c>
      <x:c r="Q101" s="41" t="n">
        <x:f>K101*N101</x:f>
        <x:v>576</x:v>
      </x:c>
      <x:c r="R101" s="41" t="n">
        <x:f>SUM(O101:Q101)</x:f>
        <x:v>9696</x:v>
      </x:c>
      <x:c r="S101" s="40" t="n">
        <x:v>0.019</x:v>
      </x:c>
      <x:c r="T101" s="41" t="n">
        <x:f>K101*S101</x:f>
        <x:v>182.4</x:v>
      </x:c>
      <x:c r="U101" t="str">
        <x:v>MEASURED</x:v>
      </x:c>
      <x:c r="V101" t="str"/>
    </x:row>
    <x:row r="102" ht="30" customHeight="1">
      <x:c r="A102" s="38"/>
      <x:c r="B102" s="38"/>
      <x:c r="C102" s="38" t="str">
        <x:v>MODEL TOTAL</x:v>
      </x:c>
      <x:c r="D102" s="38" t="str">
        <x:v>96 line items</x:v>
      </x:c>
      <x:c r="E102" s="38"/>
      <x:c r="F102" s="38"/>
      <x:c r="G102" s="38"/>
      <x:c r="H102" s="38"/>
      <x:c r="I102" s="42"/>
      <x:c r="J102" s="42"/>
      <x:c r="K102" s="42"/>
      <x:c r="L102" s="42"/>
      <x:c r="M102" s="42"/>
      <x:c r="N102" s="42"/>
      <x:c r="O102" s="42" t="n">
        <x:f>SUM(O6:O101)</x:f>
        <x:v>243289.06299999997</x:v>
      </x:c>
      <x:c r="P102" s="42" t="n">
        <x:f>SUM(P6:P101)</x:f>
        <x:v>283149.58600000007</x:v>
      </x:c>
      <x:c r="Q102" s="42" t="n">
        <x:f>SUM(Q6:Q101)</x:f>
        <x:v>19128.695000000007</x:v>
      </x:c>
      <x:c r="R102" s="42" t="n">
        <x:f>SUM(R6:R101)</x:f>
        <x:v>545567.3439999999</x:v>
      </x:c>
      <x:c r="S102" s="42"/>
      <x:c r="T102" s="42" t="n">
        <x:f>SUM(T6:T101)</x:f>
        <x:v>7465.621300000001</x:v>
      </x:c>
      <x:c r="U102" s="38"/>
      <x:c r="V102" s="38"/>
    </x:row>
  </x:sheetData>
  <x:mergeCells>
    <x:mergeCell ref="A1:V2"/>
    <x:mergeCell ref="A3:V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0" hidden="0" customWidth="1"/>
    <x:col min="2" max="2" width="32" hidden="0" customWidth="1"/>
    <x:col min="3" max="3" width="15" hidden="0" customWidth="1"/>
    <x:col min="4" max="4" width="20" hidden="0" customWidth="1"/>
    <x:col min="5" max="5" width="20" hidden="0" customWidth="1"/>
    <x:col min="6" max="6" width="22" hidden="0" customWidth="1"/>
    <x:col min="7" max="7" width="21" hidden="0" customWidth="1"/>
    <x:col min="8" max="8" width="17" hidden="0" customWidth="1"/>
  </x:cols>
  <x:sheetData>
    <x:row r="1" ht="25" customHeight="1">
      <x:c r="A1" s="4" t="str">
        <x:v>CSI TRADE SUMMARY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4" customHeight="1">
      <x:c r="A3" s="64" t="str">
        <x:v>Cost direct extensions from Quantity Takeoff; all pricing values illustrative</x:v>
      </x:c>
      <x:c r="B3" s="64"/>
      <x:c r="C3" s="64"/>
      <x:c r="D3" s="64"/>
      <x:c r="E3" s="64"/>
      <x:c r="F3" s="64"/>
      <x:c r="G3" s="64"/>
      <x:c r="H3" s="64"/>
    </x:row>
    <x:row r="5" ht="29" customHeight="1">
      <x:c r="A5" s="15" t="str">
        <x:v>CSI</x:v>
      </x:c>
      <x:c r="B5" s="15" t="str">
        <x:v>Primary trade scope</x:v>
      </x:c>
      <x:c r="C5" s="15" t="str">
        <x:v>Line items</x:v>
      </x:c>
      <x:c r="D5" s="15" t="str">
        <x:v>Material (USD)</x:v>
      </x:c>
      <x:c r="E5" s="15" t="str">
        <x:v>Labor (USD)</x:v>
      </x:c>
      <x:c r="F5" s="15" t="str">
        <x:v>Equipment (USD)</x:v>
      </x:c>
      <x:c r="G5" s="15" t="str">
        <x:v>Direct (USD)</x:v>
      </x:c>
      <x:c r="H5" s="15" t="str">
        <x:v>Labor Hours</x:v>
      </x:c>
    </x:row>
    <x:row r="6">
      <x:c r="A6" t="str">
        <x:v>01</x:v>
      </x:c>
      <x:c r="B6" t="str">
        <x:v>General conditions</x:v>
      </x:c>
      <x:c r="C6" t="n">
        <x:f>COUNTIF('Quantity Takeoff'!$B$6:$B$101,A6)</x:f>
        <x:v>3</x:v>
      </x:c>
      <x:c r="D6" s="41" t="n">
        <x:f>SUMIF('Quantity Takeoff'!$B$6:$B$101,A6,'Quantity Takeoff'!$O$6:$O$101)</x:f>
        <x:v>9840</x:v>
      </x:c>
      <x:c r="E6" s="41" t="n">
        <x:f>SUMIF('Quantity Takeoff'!$B$6:$B$101,A6,'Quantity Takeoff'!$P$6:$P$101)</x:f>
        <x:v>19080</x:v>
      </x:c>
      <x:c r="F6" s="41" t="n">
        <x:f>SUMIF('Quantity Takeoff'!$B$6:$B$101,A6,'Quantity Takeoff'!$Q$6:$Q$101)</x:f>
        <x:v>2086</x:v>
      </x:c>
      <x:c r="G6" s="41" t="n">
        <x:f>SUMIF('Quantity Takeoff'!$B$6:$B$101,A6,'Quantity Takeoff'!$R$6:$R$101)</x:f>
        <x:v>31006</x:v>
      </x:c>
      <x:c r="H6" s="41" t="n">
        <x:f>SUMIF('Quantity Takeoff'!$B$6:$B$101,A6,'Quantity Takeoff'!$T$6:$T$101)</x:f>
        <x:v>402.4</x:v>
      </x:c>
    </x:row>
    <x:row r="7">
      <x:c r="A7" t="str">
        <x:v>02</x:v>
      </x:c>
      <x:c r="B7" t="str">
        <x:v>Selective demolition</x:v>
      </x:c>
      <x:c r="C7" t="n">
        <x:f>COUNTIF('Quantity Takeoff'!$B$6:$B$101,A7)</x:f>
        <x:v>2</x:v>
      </x:c>
      <x:c r="D7" s="41" t="n">
        <x:f>SUMIF('Quantity Takeoff'!$B$6:$B$101,A7,'Quantity Takeoff'!$O$6:$O$101)</x:f>
        <x:v>3600</x:v>
      </x:c>
      <x:c r="E7" s="41" t="n">
        <x:f>SUMIF('Quantity Takeoff'!$B$6:$B$101,A7,'Quantity Takeoff'!$P$6:$P$101)</x:f>
        <x:v>18900</x:v>
      </x:c>
      <x:c r="F7" s="41" t="n">
        <x:f>SUMIF('Quantity Takeoff'!$B$6:$B$101,A7,'Quantity Takeoff'!$Q$6:$Q$101)</x:f>
        <x:v>2784</x:v>
      </x:c>
      <x:c r="G7" s="41" t="n">
        <x:f>SUMIF('Quantity Takeoff'!$B$6:$B$101,A7,'Quantity Takeoff'!$R$6:$R$101)</x:f>
        <x:v>25284</x:v>
      </x:c>
      <x:c r="H7" s="41" t="n">
        <x:f>SUMIF('Quantity Takeoff'!$B$6:$B$101,A7,'Quantity Takeoff'!$T$6:$T$101)</x:f>
        <x:v>441</x:v>
      </x:c>
    </x:row>
    <x:row r="8">
      <x:c r="A8" t="str">
        <x:v>03</x:v>
      </x:c>
      <x:c r="B8" t="str">
        <x:v>Concrete / substrate</x:v>
      </x:c>
      <x:c r="C8" t="n">
        <x:f>COUNTIF('Quantity Takeoff'!$B$6:$B$101,A8)</x:f>
        <x:v>2</x:v>
      </x:c>
      <x:c r="D8" s="41" t="n">
        <x:f>SUMIF('Quantity Takeoff'!$B$6:$B$101,A8,'Quantity Takeoff'!$O$6:$O$101)</x:f>
        <x:v>6129.9</x:v>
      </x:c>
      <x:c r="E8" s="41" t="n">
        <x:f>SUMIF('Quantity Takeoff'!$B$6:$B$101,A8,'Quantity Takeoff'!$P$6:$P$101)</x:f>
        <x:v>5392.8</x:v>
      </x:c>
      <x:c r="F8" s="41" t="n">
        <x:f>SUMIF('Quantity Takeoff'!$B$6:$B$101,A8,'Quantity Takeoff'!$Q$6:$Q$101)</x:f>
        <x:v>642.5999999999999</x:v>
      </x:c>
      <x:c r="G8" s="41" t="n">
        <x:f>SUMIF('Quantity Takeoff'!$B$6:$B$101,A8,'Quantity Takeoff'!$R$6:$R$101)</x:f>
        <x:v>12165.3</x:v>
      </x:c>
      <x:c r="H8" s="41" t="n">
        <x:f>SUMIF('Quantity Takeoff'!$B$6:$B$101,A8,'Quantity Takeoff'!$T$6:$T$101)</x:f>
        <x:v>165.06</x:v>
      </x:c>
    </x:row>
    <x:row r="9">
      <x:c r="A9" t="str">
        <x:v>05</x:v>
      </x:c>
      <x:c r="B9" t="str">
        <x:v>Cold-formed framing</x:v>
      </x:c>
      <x:c r="C9" t="n">
        <x:f>COUNTIF('Quantity Takeoff'!$B$6:$B$101,A9)</x:f>
        <x:v>6</x:v>
      </x:c>
      <x:c r="D9" s="41" t="n">
        <x:f>SUMIF('Quantity Takeoff'!$B$6:$B$101,A9,'Quantity Takeoff'!$O$6:$O$101)</x:f>
        <x:v>16338.043000000001</x:v>
      </x:c>
      <x:c r="E9" s="41" t="n">
        <x:f>SUMIF('Quantity Takeoff'!$B$6:$B$101,A9,'Quantity Takeoff'!$P$6:$P$101)</x:f>
        <x:v>16567.743</x:v>
      </x:c>
      <x:c r="F9" s="41" t="n">
        <x:f>SUMIF('Quantity Takeoff'!$B$6:$B$101,A9,'Quantity Takeoff'!$Q$6:$Q$101)</x:f>
        <x:v>853.9350000000001</x:v>
      </x:c>
      <x:c r="G9" s="41" t="n">
        <x:f>SUMIF('Quantity Takeoff'!$B$6:$B$101,A9,'Quantity Takeoff'!$R$6:$R$101)</x:f>
        <x:v>33759.721000000005</x:v>
      </x:c>
      <x:c r="H9" s="41" t="n">
        <x:f>SUMIF('Quantity Takeoff'!$B$6:$B$101,A9,'Quantity Takeoff'!$T$6:$T$101)</x:f>
        <x:v>461.2283</x:v>
      </x:c>
    </x:row>
    <x:row r="10">
      <x:c r="A10" t="str">
        <x:v>08</x:v>
      </x:c>
      <x:c r="B10" t="str">
        <x:v>Doors &amp; glazing</x:v>
      </x:c>
      <x:c r="C10" t="n">
        <x:f>COUNTIF('Quantity Takeoff'!$B$6:$B$101,A10)</x:f>
        <x:v>5</x:v>
      </x:c>
      <x:c r="D10" s="41" t="n">
        <x:f>SUMIF('Quantity Takeoff'!$B$6:$B$101,A10,'Quantity Takeoff'!$O$6:$O$101)</x:f>
        <x:v>20480</x:v>
      </x:c>
      <x:c r="E10" s="41" t="n">
        <x:f>SUMIF('Quantity Takeoff'!$B$6:$B$101,A10,'Quantity Takeoff'!$P$6:$P$101)</x:f>
        <x:v>8640</x:v>
      </x:c>
      <x:c r="F10" s="41" t="n">
        <x:f>SUMIF('Quantity Takeoff'!$B$6:$B$101,A10,'Quantity Takeoff'!$Q$6:$Q$101)</x:f>
        <x:v>1180</x:v>
      </x:c>
      <x:c r="G10" s="41" t="n">
        <x:f>SUMIF('Quantity Takeoff'!$B$6:$B$101,A10,'Quantity Takeoff'!$R$6:$R$101)</x:f>
        <x:v>30300</x:v>
      </x:c>
      <x:c r="H10" s="41" t="n">
        <x:f>SUMIF('Quantity Takeoff'!$B$6:$B$101,A10,'Quantity Takeoff'!$T$6:$T$101)</x:f>
        <x:v>134.39999999999998</x:v>
      </x:c>
    </x:row>
    <x:row r="11">
      <x:c r="A11" t="str">
        <x:v>09</x:v>
      </x:c>
      <x:c r="B11" t="str">
        <x:v>Architectural finishes</x:v>
      </x:c>
      <x:c r="C11" t="n">
        <x:f>COUNTIF('Quantity Takeoff'!$B$6:$B$101,A11)</x:f>
        <x:v>35</x:v>
      </x:c>
      <x:c r="D11" s="41" t="n">
        <x:f>SUMIF('Quantity Takeoff'!$B$6:$B$101,A11,'Quantity Takeoff'!$O$6:$O$101)</x:f>
        <x:v>125407.9</x:v>
      </x:c>
      <x:c r="E11" s="41" t="n">
        <x:f>SUMIF('Quantity Takeoff'!$B$6:$B$101,A11,'Quantity Takeoff'!$P$6:$P$101)</x:f>
        <x:v>149466.12300000005</x:v>
      </x:c>
      <x:c r="F11" s="41" t="n">
        <x:f>SUMIF('Quantity Takeoff'!$B$6:$B$101,A11,'Quantity Takeoff'!$Q$6:$Q$101)</x:f>
        <x:v>7794.06</x:v>
      </x:c>
      <x:c r="G11" s="41" t="n">
        <x:f>SUMIF('Quantity Takeoff'!$B$6:$B$101,A11,'Quantity Takeoff'!$R$6:$R$101)</x:f>
        <x:v>282668.08300000004</x:v>
      </x:c>
      <x:c r="H11" s="41" t="n">
        <x:f>SUMIF('Quantity Takeoff'!$B$6:$B$101,A11,'Quantity Takeoff'!$T$6:$T$101)</x:f>
        <x:v>4536.192999999999</x:v>
      </x:c>
    </x:row>
    <x:row r="12">
      <x:c r="A12" t="str">
        <x:v>10</x:v>
      </x:c>
      <x:c r="B12" t="str">
        <x:v>Specialties</x:v>
      </x:c>
      <x:c r="C12" t="n">
        <x:f>COUNTIF('Quantity Takeoff'!$B$6:$B$101,A12)</x:f>
        <x:v>3</x:v>
      </x:c>
      <x:c r="D12" s="41" t="n">
        <x:f>SUMIF('Quantity Takeoff'!$B$6:$B$101,A12,'Quantity Takeoff'!$O$6:$O$101)</x:f>
        <x:v>3893.9</x:v>
      </x:c>
      <x:c r="E12" s="41" t="n">
        <x:f>SUMIF('Quantity Takeoff'!$B$6:$B$101,A12,'Quantity Takeoff'!$P$6:$P$101)</x:f>
        <x:v>3514.2</x:v>
      </x:c>
      <x:c r="F12" s="41" t="n">
        <x:f>SUMIF('Quantity Takeoff'!$B$6:$B$101,A12,'Quantity Takeoff'!$Q$6:$Q$101)</x:f>
        <x:v>232.4</x:v>
      </x:c>
      <x:c r="G12" s="41" t="n">
        <x:f>SUMIF('Quantity Takeoff'!$B$6:$B$101,A12,'Quantity Takeoff'!$R$6:$R$101)</x:f>
        <x:v>7640.5</x:v>
      </x:c>
      <x:c r="H12" s="41" t="n">
        <x:f>SUMIF('Quantity Takeoff'!$B$6:$B$101,A12,'Quantity Takeoff'!$T$6:$T$101)</x:f>
        <x:v>81.62</x:v>
      </x:c>
    </x:row>
    <x:row r="13">
      <x:c r="A13" t="str">
        <x:v>12</x:v>
      </x:c>
      <x:c r="B13" t="str">
        <x:v>Casework / millwork</x:v>
      </x:c>
      <x:c r="C13" t="n">
        <x:f>COUNTIF('Quantity Takeoff'!$B$6:$B$101,A13)</x:f>
        <x:v>2</x:v>
      </x:c>
      <x:c r="D13" s="41" t="n">
        <x:f>SUMIF('Quantity Takeoff'!$B$6:$B$101,A13,'Quantity Takeoff'!$O$6:$O$101)</x:f>
        <x:v>10283.52</x:v>
      </x:c>
      <x:c r="E13" s="41" t="n">
        <x:f>SUMIF('Quantity Takeoff'!$B$6:$B$101,A13,'Quantity Takeoff'!$P$6:$P$101)</x:f>
        <x:v>7086.72</x:v>
      </x:c>
      <x:c r="F13" s="41" t="n">
        <x:f>SUMIF('Quantity Takeoff'!$B$6:$B$101,A13,'Quantity Takeoff'!$Q$6:$Q$101)</x:f>
        <x:v>403.20000000000005</x:v>
      </x:c>
      <x:c r="G13" s="41" t="n">
        <x:f>SUMIF('Quantity Takeoff'!$B$6:$B$101,A13,'Quantity Takeoff'!$R$6:$R$101)</x:f>
        <x:v>17773.440000000002</x:v>
      </x:c>
      <x:c r="H13" s="41" t="n">
        <x:f>SUMIF('Quantity Takeoff'!$B$6:$B$101,A13,'Quantity Takeoff'!$T$6:$T$101)</x:f>
        <x:v>123.84</x:v>
      </x:c>
    </x:row>
    <x:row r="14">
      <x:c r="A14" t="str">
        <x:v>22</x:v>
      </x:c>
      <x:c r="B14" t="str">
        <x:v>Plumbing allowances</x:v>
      </x:c>
      <x:c r="C14" t="n">
        <x:f>COUNTIF('Quantity Takeoff'!$B$6:$B$101,A14)</x:f>
        <x:v>3</x:v>
      </x:c>
      <x:c r="D14" s="41" t="n">
        <x:f>SUMIF('Quantity Takeoff'!$B$6:$B$101,A14,'Quantity Takeoff'!$O$6:$O$101)</x:f>
        <x:v>1660</x:v>
      </x:c>
      <x:c r="E14" s="41" t="n">
        <x:f>SUMIF('Quantity Takeoff'!$B$6:$B$101,A14,'Quantity Takeoff'!$P$6:$P$101)</x:f>
        <x:v>1840</x:v>
      </x:c>
      <x:c r="F14" s="41" t="n">
        <x:f>SUMIF('Quantity Takeoff'!$B$6:$B$101,A14,'Quantity Takeoff'!$Q$6:$Q$101)</x:f>
        <x:v>124</x:v>
      </x:c>
      <x:c r="G14" s="41" t="n">
        <x:f>SUMIF('Quantity Takeoff'!$B$6:$B$101,A14,'Quantity Takeoff'!$R$6:$R$101)</x:f>
        <x:v>3624</x:v>
      </x:c>
      <x:c r="H14" s="41" t="n">
        <x:f>SUMIF('Quantity Takeoff'!$B$6:$B$101,A14,'Quantity Takeoff'!$T$6:$T$101)</x:f>
        <x:v>30</x:v>
      </x:c>
    </x:row>
    <x:row r="15">
      <x:c r="A15" t="str">
        <x:v>26</x:v>
      </x:c>
      <x:c r="B15" t="str">
        <x:v>Electrical allowances</x:v>
      </x:c>
      <x:c r="C15" t="n">
        <x:f>COUNTIF('Quantity Takeoff'!$B$6:$B$101,A15)</x:f>
        <x:v>25</x:v>
      </x:c>
      <x:c r="D15" s="41" t="n">
        <x:f>SUMIF('Quantity Takeoff'!$B$6:$B$101,A15,'Quantity Takeoff'!$O$6:$O$101)</x:f>
        <x:v>38126</x:v>
      </x:c>
      <x:c r="E15" s="41" t="n">
        <x:f>SUMIF('Quantity Takeoff'!$B$6:$B$101,A15,'Quantity Takeoff'!$P$6:$P$101)</x:f>
        <x:v>42422</x:v>
      </x:c>
      <x:c r="F15" s="41" t="n">
        <x:f>SUMIF('Quantity Takeoff'!$B$6:$B$101,A15,'Quantity Takeoff'!$Q$6:$Q$101)</x:f>
        <x:v>2582</x:v>
      </x:c>
      <x:c r="G15" s="41" t="n">
        <x:f>SUMIF('Quantity Takeoff'!$B$6:$B$101,A15,'Quantity Takeoff'!$R$6:$R$101)</x:f>
        <x:v>83130</x:v>
      </x:c>
      <x:c r="H15" s="41" t="n">
        <x:f>SUMIF('Quantity Takeoff'!$B$6:$B$101,A15,'Quantity Takeoff'!$T$6:$T$101)</x:f>
        <x:v>865.5799999999999</x:v>
      </x:c>
    </x:row>
    <x:row r="16">
      <x:c r="A16" t="str">
        <x:v>27</x:v>
      </x:c>
      <x:c r="B16" t="str">
        <x:v>Data / low voltage</x:v>
      </x:c>
      <x:c r="C16" t="n">
        <x:f>COUNTIF('Quantity Takeoff'!$B$6:$B$101,A16)</x:f>
        <x:v>10</x:v>
      </x:c>
      <x:c r="D16" s="41" t="n">
        <x:f>SUMIF('Quantity Takeoff'!$B$6:$B$101,A16,'Quantity Takeoff'!$O$6:$O$101)</x:f>
        <x:v>7529.8</x:v>
      </x:c>
      <x:c r="E16" s="41" t="n">
        <x:f>SUMIF('Quantity Takeoff'!$B$6:$B$101,A16,'Quantity Takeoff'!$P$6:$P$101)</x:f>
        <x:v>10240</x:v>
      </x:c>
      <x:c r="F16" s="41" t="n">
        <x:f>SUMIF('Quantity Takeoff'!$B$6:$B$101,A16,'Quantity Takeoff'!$Q$6:$Q$101)</x:f>
        <x:v>446.5</x:v>
      </x:c>
      <x:c r="G16" s="41" t="n">
        <x:f>SUMIF('Quantity Takeoff'!$B$6:$B$101,A16,'Quantity Takeoff'!$R$6:$R$101)</x:f>
        <x:v>18216.3</x:v>
      </x:c>
      <x:c r="H16" s="41" t="n">
        <x:f>SUMIF('Quantity Takeoff'!$B$6:$B$101,A16,'Quantity Takeoff'!$T$6:$T$101)</x:f>
        <x:v>224.29999999999998</x:v>
      </x:c>
    </x:row>
    <x:row r="17" ht="29" customHeight="1">
      <x:c r="A17" s="38" t="str"/>
      <x:c r="B17" s="38" t="str">
        <x:v>TOTAL DIRECT</x:v>
      </x:c>
      <x:c r="C17" s="38" t="n">
        <x:f>SUM(C6:C16)</x:f>
        <x:v>96</x:v>
      </x:c>
      <x:c r="D17" s="42" t="n">
        <x:f>SUM(D6:D16)</x:f>
        <x:v>243289.06299999997</x:v>
      </x:c>
      <x:c r="E17" s="42" t="n">
        <x:f>SUM(E6:E16)</x:f>
        <x:v>283149.58600000007</x:v>
      </x:c>
      <x:c r="F17" s="42" t="n">
        <x:f>SUM(F6:F16)</x:f>
        <x:v>19128.695</x:v>
      </x:c>
      <x:c r="G17" s="42" t="n">
        <x:f>SUM(G6:G16)</x:f>
        <x:v>545567.344</x:v>
      </x:c>
      <x:c r="H17" s="42" t="n">
        <x:f>SUM(H6:H16)</x:f>
        <x:v>7465.621299999999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4" hidden="0" customWidth="1"/>
    <x:col min="2" max="2" width="32" hidden="0" customWidth="1"/>
    <x:col min="3" max="3" width="50" hidden="0" customWidth="1"/>
    <x:col min="4" max="4" width="15" hidden="0" customWidth="1"/>
    <x:col min="5" max="5" width="66" hidden="0" customWidth="1"/>
  </x:cols>
  <x:sheetData>
    <x:row r="1" ht="25" customHeight="1">
      <x:c r="A1" s="4" t="str">
        <x:v>DRAWING / MARKUP INDEX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4" customHeight="1">
      <x:c r="A3" s="9" t="str">
        <x:v>Reference sheets are fictional schematic illustrations; their labels align with workbook quantities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</x:row>
    <x:row r="5" ht="29" customHeight="1">
      <x:c r="A5" s="97" t="str">
        <x:v>Sheet</x:v>
      </x:c>
      <x:c r="B5" s="97" t="str">
        <x:v>Title</x:v>
      </x:c>
      <x:c r="C5" s="97" t="str">
        <x:v>Purpose</x:v>
      </x:c>
      <x:c r="D5" s="97" t="str">
        <x:v>Confidence</x:v>
      </x:c>
      <x:c r="E5" s="97" t="str">
        <x:v>Important note</x:v>
      </x:c>
      <x:c r="F5" s="75"/>
      <x:c r="G5" s="75"/>
      <x:c r="H5" s="75"/>
      <x:c r="I5" s="75"/>
      <x:c r="J5" s="75"/>
      <x:c r="K5" s="75"/>
      <x:c r="L5" s="75"/>
    </x:row>
    <x:row r="6" ht="34" customHeight="1">
      <x:c r="A6" t="str">
        <x:v>G-001</x:v>
      </x:c>
      <x:c r="B6" t="str">
        <x:v>Scope, assumptions &amp; legend</x:v>
      </x:c>
      <x:c r="C6" t="str">
        <x:v>Model control and exclusions</x:v>
      </x:c>
      <x:c r="D6" t="str">
        <x:v>Concept</x:v>
      </x:c>
      <x:c r="E6" s="26" t="str">
        <x:v>Generated solely to demonstrate documentation format</x:v>
      </x:c>
    </x:row>
    <x:row r="7" ht="34" customHeight="1">
      <x:c r="A7" t="str">
        <x:v>A-101</x:v>
      </x:c>
      <x:c r="B7" t="str">
        <x:v>Architectural / flooring markup</x:v>
      </x:c>
      <x:c r="C7" t="str">
        <x:v>9 zones; finish codes; 9,600 SF</x:v>
      </x:c>
      <x:c r="D7" t="str">
        <x:v>Concept</x:v>
      </x:c>
      <x:c r="E7" s="26" t="str">
        <x:v>Dimensions 120 × 80 FT; not architect-issued</x:v>
      </x:c>
    </x:row>
    <x:row r="8" ht="34" customHeight="1">
      <x:c r="A8" t="str">
        <x:v>A-102</x:v>
      </x:c>
      <x:c r="B8" t="str">
        <x:v>Reflected ceiling schematic</x:v>
      </x:c>
      <x:c r="C8" t="str">
        <x:v>ACT / GWB zones and room schedule</x:v>
      </x:c>
      <x:c r="D8" t="str">
        <x:v>Concept</x:v>
      </x:c>
      <x:c r="E8" s="26" t="str">
        <x:v>Lighting shown conceptually; lighting counts from room schedule</x:v>
      </x:c>
    </x:row>
    <x:row r="9" ht="34" customHeight="1">
      <x:c r="A9" t="str">
        <x:v>A-201</x:v>
      </x:c>
      <x:c r="B9" t="str">
        <x:v>Partitions &amp; doors</x:v>
      </x:c>
      <x:c r="C9" t="str">
        <x:v>444 LF partitions; 8 interior openings</x:v>
      </x:c>
      <x:c r="D9" t="str">
        <x:v>Concept</x:v>
      </x:c>
      <x:c r="E9" s="26" t="str">
        <x:v>Geometry schedule assumptions not verified in field</x:v>
      </x:c>
    </x:row>
    <x:row r="10" ht="34" customHeight="1">
      <x:c r="A10" t="str">
        <x:v>E-101</x:v>
      </x:c>
      <x:c r="B10" t="str">
        <x:v>Lighting, power &amp; data schedule</x:v>
      </x:c>
      <x:c r="C10" t="str">
        <x:v>56 LED / 74 duplex / 42 data</x:v>
      </x:c>
      <x:c r="D10" t="str">
        <x:v>Concept</x:v>
      </x:c>
      <x:c r="E10" s="26" t="str">
        <x:v>Symbols are schematic; no circuit routing design</x:v>
      </x:c>
    </x:row>
    <x:row r="11" ht="34" customHeight="1">
      <x:c r="A11" t="str">
        <x:v>D-101</x:v>
      </x:c>
      <x:c r="B11" t="str">
        <x:v>Selective demolition assumption</x:v>
      </x:c>
      <x:c r="C11" t="str">
        <x:v>Existing floor finish removal 9,600 SF</x:v>
      </x:c>
      <x:c r="D11" t="str">
        <x:v>Allowance</x:v>
      </x:c>
      <x:c r="E11" s="26" t="str">
        <x:v>No existing-condition survey</x:v>
      </x:c>
    </x:row>
    <x:row r="12" ht="34" customHeight="1">
      <x:c r="A12" t="str">
        <x:v>P-101</x:v>
      </x:c>
      <x:c r="B12" t="str">
        <x:v>Breakroom plumbing allowances</x:v>
      </x:c>
      <x:c r="C12" t="str">
        <x:v>2 sinks / 2 rough-in sets</x:v>
      </x:c>
      <x:c r="D12" t="str">
        <x:v>Allowance</x:v>
      </x:c>
      <x:c r="E12" s="26" t="str">
        <x:v>No pipe takeoff; no engineering scope</x:v>
      </x:c>
    </x:row>
  </x:sheetData>
  <x:mergeCells>
    <x:mergeCell ref="A1:L2"/>
    <x:mergeCell ref="A3:L3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8" hidden="0" customWidth="1"/>
    <x:col min="2" max="2" width="26" hidden="0" customWidth="1"/>
    <x:col min="3" max="3" width="78" hidden="0" customWidth="1"/>
    <x:col min="4" max="4" width="74" hidden="0" customWidth="1"/>
  </x:cols>
  <x:sheetData>
    <x:row r="1" ht="25" customHeight="1">
      <x:c r="A1" s="4" t="str">
        <x:v>SCOPE / ASSUMPTIONS / EXCLUSIONS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4" customHeight="1">
      <x:c r="A3" s="9" t="str">
        <x:v>Clear qualifications prevent model quantities from being mistaken for construction-ready bid values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</x:row>
    <x:row r="5" ht="29" customHeight="1">
      <x:c r="A5" s="15" t="str">
        <x:v>Category</x:v>
      </x:c>
      <x:c r="B5" s="15" t="str">
        <x:v>Status</x:v>
      </x:c>
      <x:c r="C5" s="15" t="str">
        <x:v>Detail</x:v>
      </x:c>
      <x:c r="D5" s="15" t="str">
        <x:v>Validation needed</x:v>
      </x:c>
    </x:row>
    <x:row r="6" ht="39" customHeight="1">
      <x:c r="A6" t="str">
        <x:v>Project identity</x:v>
      </x:c>
      <x:c r="B6" t="str">
        <x:v>Fictional</x:v>
      </x:c>
      <x:c r="C6" s="26" t="str">
        <x:v>No customer drawings or projects were used</x:v>
      </x:c>
      <x:c r="D6" s="26" t="str">
        <x:v>Provide real plans, specification and bid date</x:v>
      </x:c>
    </x:row>
    <x:row r="7" ht="39" customHeight="1">
      <x:c r="A7" t="str">
        <x:v>Rooms &amp; finish schedule</x:v>
      </x:c>
      <x:c r="B7" t="str">
        <x:v>Concept</x:v>
      </x:c>
      <x:c r="C7" s="26" t="str">
        <x:v>9 modeled zones within a 120 x 80 FT floor plate</x:v>
      </x:c>
      <x:c r="D7" s="26" t="str">
        <x:v>Confirm actual drawing dimensions and finishes</x:v>
      </x:c>
    </x:row>
    <x:row r="8" ht="39" customHeight="1">
      <x:c r="A8" t="str">
        <x:v>Partitions</x:v>
      </x:c>
      <x:c r="B8" t="str">
        <x:v>Measured assumption</x:v>
      </x:c>
      <x:c r="C8" s="26" t="str">
        <x:v>444 LF concept gross run; eight 3 x 7 FT openings</x:v>
      </x:c>
      <x:c r="D8" s="26" t="str">
        <x:v>Review partitions, fire-rating and existing conditions</x:v>
      </x:c>
    </x:row>
    <x:row r="9" ht="39" customHeight="1">
      <x:c r="A9" t="str">
        <x:v>Existing floor demolition</x:v>
      </x:c>
      <x:c r="B9" t="str">
        <x:v>Allowance</x:v>
      </x:c>
      <x:c r="C9" s="26" t="str">
        <x:v>Entire 9,600 SF assumed removal</x:v>
      </x:c>
      <x:c r="D9" s="26" t="str">
        <x:v>Field verify floor layers and disposal</x:v>
      </x:c>
    </x:row>
    <x:row r="10" ht="39" customHeight="1">
      <x:c r="A10" t="str">
        <x:v>ACT perimeter trim</x:v>
      </x:c>
      <x:c r="B10" t="str">
        <x:v>Allowance</x:v>
      </x:c>
      <x:c r="C10" s="26" t="str">
        <x:v>1,056 LF provisional; shared edges may differ</x:v>
      </x:c>
      <x:c r="D10" s="26" t="str">
        <x:v>Review detail conditions before bid</x:v>
      </x:c>
    </x:row>
    <x:row r="11" ht="39" customHeight="1">
      <x:c r="A11" t="str">
        <x:v>Metal studs / deflection</x:v>
      </x:c>
      <x:c r="B11" t="str">
        <x:v>Partial</x:v>
      </x:c>
      <x:c r="C11" s="26" t="str">
        <x:v>Basic quantities; head of wall and gauge unknown</x:v>
      </x:c>
      <x:c r="D11" s="26" t="str">
        <x:v>Specifications, seismic, deflection details</x:v>
      </x:c>
    </x:row>
    <x:row r="12" ht="39" customHeight="1">
      <x:c r="A12" t="str">
        <x:v>Plumbing</x:v>
      </x:c>
      <x:c r="B12" t="str">
        <x:v>Partial allowance</x:v>
      </x:c>
      <x:c r="C12" s="26" t="str">
        <x:v>Breakroom only, two sinks / connection sets</x:v>
      </x:c>
      <x:c r="D12" s="26" t="str">
        <x:v>Plumbing plans, fixture selections, pipe routing</x:v>
      </x:c>
    </x:row>
    <x:row r="13" ht="39" customHeight="1">
      <x:c r="A13" t="str">
        <x:v>Electrical</x:v>
      </x:c>
      <x:c r="B13" t="str">
        <x:v>Partial allowance</x:v>
      </x:c>
      <x:c r="C13" s="26" t="str">
        <x:v>Lighting/devices scheduled; conduit/wire footage provisional</x:v>
      </x:c>
      <x:c r="D13" s="26" t="str">
        <x:v>Circuiting, panel schedules, AHJ and code</x:v>
      </x:c>
    </x:row>
    <x:row r="14" ht="39" customHeight="1">
      <x:c r="A14" t="str">
        <x:v>Low voltage</x:v>
      </x:c>
      <x:c r="B14" t="str">
        <x:v>Partial allowance</x:v>
      </x:c>
      <x:c r="C14" s="26" t="str">
        <x:v>42 data drops, 4,200 LF provisional Cat6</x:v>
      </x:c>
      <x:c r="D14" s="26" t="str">
        <x:v>Rack, pathway, testing, cabling spec</x:v>
      </x:c>
    </x:row>
    <x:row r="15" ht="39" customHeight="1">
      <x:c r="A15" t="str">
        <x:v>Mechanical / HVAC</x:v>
      </x:c>
      <x:c r="B15" t="str">
        <x:v>Excluded</x:v>
      </x:c>
      <x:c r="C15" s="26" t="str">
        <x:v>No duct/air quantity takeoff or equipment sizing</x:v>
      </x:c>
      <x:c r="D15" s="26" t="str">
        <x:v>MEP plan set</x:v>
      </x:c>
    </x:row>
    <x:row r="16" ht="39" customHeight="1">
      <x:c r="A16" t="str">
        <x:v>Fire protection</x:v>
      </x:c>
      <x:c r="B16" t="str">
        <x:v>Excluded</x:v>
      </x:c>
      <x:c r="C16" s="26" t="str">
        <x:v>No sprinklers, fire alarm devices, or design</x:v>
      </x:c>
      <x:c r="D16" s="26" t="str">
        <x:v>Fire and life-safety documents</x:v>
      </x:c>
    </x:row>
    <x:row r="17" ht="39" customHeight="1">
      <x:c r="A17" t="str">
        <x:v>Structure / exterior</x:v>
      </x:c>
      <x:c r="B17" t="str">
        <x:v>Excluded</x:v>
      </x:c>
      <x:c r="C17" s="26" t="str">
        <x:v>No new foundations/roofing/sitework</x:v>
      </x:c>
      <x:c r="D17" s="26" t="str">
        <x:v>Structural and civil plans</x:v>
      </x:c>
    </x:row>
    <x:row r="18" ht="39" customHeight="1">
      <x:c r="A18" t="str">
        <x:v>Code / permits</x:v>
      </x:c>
      <x:c r="B18" t="str">
        <x:v>Excluded</x:v>
      </x:c>
      <x:c r="C18" s="26" t="str">
        <x:v>No accessibility, code compliance or AHJ determination</x:v>
      </x:c>
      <x:c r="D18" s="26" t="str">
        <x:v>Licensed project designer</x:v>
      </x:c>
    </x:row>
    <x:row r="19" ht="39" customHeight="1">
      <x:c r="A19" t="str">
        <x:v>Direct unit pricing</x:v>
      </x:c>
      <x:c r="B19" t="str">
        <x:v>Fictional</x:v>
      </x:c>
      <x:c r="C19" s="26" t="str">
        <x:v>Demonstration USD dollars only</x:v>
      </x:c>
      <x:c r="D19" s="26" t="str">
        <x:v>Vendor/subcontractor quotations in target market</x:v>
      </x:c>
    </x:row>
    <x:row r="20" ht="39" customHeight="1">
      <x:c r="A20" t="str">
        <x:v>Project add-ons</x:v>
      </x:c>
      <x:c r="B20" t="str">
        <x:v>Fictional</x:v>
      </x:c>
      <x:c r="C20" s="26" t="str">
        <x:v>Simple additive 8+5+8+8% on direct cost</x:v>
      </x:c>
      <x:c r="D20" s="26" t="str">
        <x:v>Client-approved commercial basis</x:v>
      </x:c>
    </x:row>
    <x:row r="21" ht="39" customHeight="1">
      <x:c r="A21" t="str">
        <x:v>Material takeoff</x:v>
      </x:c>
      <x:c r="B21" t="str">
        <x:v>Provisional</x:v>
      </x:c>
      <x:c r="C21" s="26" t="str">
        <x:v>Allowance % applies before procurement rounding</x:v>
      </x:c>
      <x:c r="D21" s="26" t="str">
        <x:v>Packaging, order quantities, lead times</x:v>
      </x:c>
    </x:row>
    <x:row r="22" ht="39" customHeight="1">
      <x:c r="A22" t="str">
        <x:v>Taxes and bonding</x:v>
      </x:c>
      <x:c r="B22" t="str">
        <x:v>Excluded</x:v>
      </x:c>
      <x:c r="C22" s="26" t="str">
        <x:v>No sales/use taxes or bonds</x:v>
      </x:c>
      <x:c r="D22" s="26" t="str">
        <x:v>Jurisdictional project contract terms</x:v>
      </x:c>
    </x:row>
    <x:row r="23" ht="39" customHeight="1">
      <x:c r="A23" s="75" t="str">
        <x:v>Contractors / labor</x:v>
      </x:c>
      <x:c r="B23" s="75" t="str">
        <x:v>Unverified</x:v>
      </x:c>
      <x:c r="C23" s="75" t="str">
        <x:v>Hours and unit labor are illustrative</x:v>
      </x:c>
      <x:c r="D23" s="75" t="str">
        <x:v>Local crew production and wage data</x:v>
      </x:c>
      <x:c r="E23" s="75"/>
      <x:c r="F23" s="75"/>
      <x:c r="G23" s="75"/>
      <x:c r="H23" s="75"/>
      <x:c r="I23" s="75"/>
      <x:c r="J23" s="75"/>
      <x:c r="K23" s="75"/>
      <x:c r="L23" s="75"/>
    </x:row>
  </x:sheetData>
  <x:mergeCells>
    <x:mergeCell ref="A1:L2"/>
    <x:mergeCell ref="A3:L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B16D4C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41" hidden="0" customWidth="1"/>
    <x:col min="2" max="2" width="20" hidden="0" customWidth="1"/>
    <x:col min="3" max="3" width="25" hidden="0" customWidth="1"/>
    <x:col min="4" max="4" width="22" hidden="0" customWidth="1"/>
    <x:col min="5" max="5" width="17" hidden="0" customWidth="1"/>
    <x:col min="6" max="6" width="17" hidden="0" customWidth="1"/>
  </x:cols>
  <x:sheetData>
    <x:row r="1" ht="25" customHeight="1">
      <x:c r="A1" s="4" t="str">
        <x:v>MODEL INTEGRITY CHECKS</x:v>
      </x:c>
      <x:c r="B1" s="4"/>
      <x:c r="C1" s="4"/>
      <x:c r="D1" s="4"/>
      <x:c r="E1" s="4"/>
      <x:c r="F1" s="4"/>
    </x:row>
    <x:row r="2" ht="25" customHeight="1">
      <x:c r="A2" s="4"/>
      <x:c r="B2" s="4"/>
      <x:c r="C2" s="4"/>
      <x:c r="D2" s="4"/>
      <x:c r="E2" s="4"/>
      <x:c r="F2" s="4"/>
    </x:row>
    <x:row r="3" ht="24" customHeight="1">
      <x:c r="A3" s="9" t="str">
        <x:v>PASS means internally consistent with the declared concept inputs; it does not mean field-verified</x:v>
      </x:c>
      <x:c r="B3" s="9"/>
      <x:c r="C3" s="9"/>
      <x:c r="D3" s="9"/>
      <x:c r="E3" s="9"/>
      <x:c r="F3" s="9"/>
    </x:row>
    <x:row r="5" ht="29" customHeight="1">
      <x:c r="A5" s="15" t="str">
        <x:v>CONTROL</x:v>
      </x:c>
      <x:c r="B5" s="15" t="str">
        <x:v>EXPECTED</x:v>
      </x:c>
      <x:c r="C5" s="15" t="str">
        <x:v>MODEL FORMULA</x:v>
      </x:c>
      <x:c r="D5" s="15" t="str">
        <x:v>PASS / REVIEW</x:v>
      </x:c>
    </x:row>
    <x:row r="6">
      <x:c r="A6" t="str">
        <x:v>Total modeled floor (SF)</x:v>
      </x:c>
      <x:c r="B6" t="n">
        <x:v>9600</x:v>
      </x:c>
      <x:c r="C6" t="n">
        <x:f>'Zone Schedule'!E15</x:f>
        <x:v>9600</x:v>
      </x:c>
      <x:c r="D6" t="str">
        <x:f>IF(ABS(B6-C6)&lt;0.02,"PASS","REVIEW")</x:f>
        <x:v>PASS</x:v>
      </x:c>
    </x:row>
    <x:row r="7">
      <x:c r="A7" t="str">
        <x:v>Building geometry area (SF)</x:v>
      </x:c>
      <x:c r="B7" t="n">
        <x:v>9600</x:v>
      </x:c>
      <x:c r="C7" t="n">
        <x:f>Inputs!B13*Inputs!B14</x:f>
        <x:v>9600</x:v>
      </x:c>
      <x:c r="D7" t="str">
        <x:f>IF(ABS(B7-C7)&lt;0.02,"PASS","REVIEW")</x:f>
        <x:v>PASS</x:v>
      </x:c>
    </x:row>
    <x:row r="8">
      <x:c r="A8" t="str">
        <x:v>Corridor and strip depth (FT)</x:v>
      </x:c>
      <x:c r="B8" t="n">
        <x:v>80</x:v>
      </x:c>
      <x:c r="C8" t="n">
        <x:f>Inputs!B16+Inputs!B17+Inputs!B18</x:f>
        <x:v>80</x:v>
      </x:c>
      <x:c r="D8" t="str">
        <x:f>IF(ABS(B8-C8)&lt;0.02,"PASS","REVIEW")</x:f>
        <x:v>PASS</x:v>
      </x:c>
    </x:row>
    <x:row r="9">
      <x:c r="A9" t="str">
        <x:v>Finish areas combined (SF)</x:v>
      </x:c>
      <x:c r="B9" t="n">
        <x:v>9600</x:v>
      </x:c>
      <x:c r="C9" t="n">
        <x:f>SUM('Zone Schedule'!E6:E14)</x:f>
        <x:v>9600</x:v>
      </x:c>
      <x:c r="D9" t="str">
        <x:f>IF(ABS(B9-C9)&lt;0.02,"PASS","REVIEW")</x:f>
        <x:v>PASS</x:v>
      </x:c>
    </x:row>
    <x:row r="10">
      <x:c r="A10" t="str">
        <x:v>Ceiling areas combined (SF)</x:v>
      </x:c>
      <x:c r="B10" t="n">
        <x:v>9600</x:v>
      </x:c>
      <x:c r="C10" t="n">
        <x:f>SUM('Zone Schedule'!E6:E14)</x:f>
        <x:v>9600</x:v>
      </x:c>
      <x:c r="D10" t="str">
        <x:f>IF(ABS(B10-C10)&lt;0.02,"PASS","REVIEW")</x:f>
        <x:v>PASS</x:v>
      </x:c>
    </x:row>
    <x:row r="11">
      <x:c r="A11" t="str">
        <x:v>Partition gross LF</x:v>
      </x:c>
      <x:c r="B11" t="n">
        <x:v>444</x:v>
      </x:c>
      <x:c r="C11" t="n">
        <x:f>Inputs!B6</x:f>
        <x:v>444</x:v>
      </x:c>
      <x:c r="D11" t="str">
        <x:f>IF(ABS(B11-C11)&lt;0.02,"PASS","REVIEW")</x:f>
        <x:v>PASS</x:v>
      </x:c>
    </x:row>
    <x:row r="12">
      <x:c r="A12" t="str">
        <x:v>Stud count net</x:v>
      </x:c>
      <x:c r="B12" t="n">
        <x:v>349</x:v>
      </x:c>
      <x:c r="C12" t="n">
        <x:f>'Quantity Takeoff'!I12</x:f>
        <x:v>349</x:v>
      </x:c>
      <x:c r="D12" t="str">
        <x:f>IF(ABS(B12-C12)&lt;0.02,"PASS","REVIEW")</x:f>
        <x:v>PASS</x:v>
      </x:c>
    </x:row>
    <x:row r="13">
      <x:c r="A13" t="str">
        <x:v>Door openings</x:v>
      </x:c>
      <x:c r="B13" t="n">
        <x:v>8</x:v>
      </x:c>
      <x:c r="C13" t="n">
        <x:f>Inputs!B8</x:f>
        <x:v>8</x:v>
      </x:c>
      <x:c r="D13" t="str">
        <x:f>IF(ABS(B13-C13)&lt;0.02,"PASS","REVIEW")</x:f>
        <x:v>PASS</x:v>
      </x:c>
    </x:row>
    <x:row r="14">
      <x:c r="A14" t="str">
        <x:v>Lighting scheduled count</x:v>
      </x:c>
      <x:c r="B14" t="n">
        <x:v>56</x:v>
      </x:c>
      <x:c r="C14" t="n">
        <x:f>'Zone Schedule'!K15</x:f>
        <x:v>56</x:v>
      </x:c>
      <x:c r="D14" t="str">
        <x:f>IF(ABS(B14-C14)&lt;0.02,"PASS","REVIEW")</x:f>
        <x:v>PASS</x:v>
      </x:c>
    </x:row>
    <x:row r="15">
      <x:c r="A15" t="str">
        <x:v>Power duplex scheduled count</x:v>
      </x:c>
      <x:c r="B15" t="n">
        <x:v>74</x:v>
      </x:c>
      <x:c r="C15" t="n">
        <x:f>'Zone Schedule'!L15</x:f>
        <x:v>74</x:v>
      </x:c>
      <x:c r="D15" t="str">
        <x:f>IF(ABS(B15-C15)&lt;0.02,"PASS","REVIEW")</x:f>
        <x:v>PASS</x:v>
      </x:c>
    </x:row>
    <x:row r="16">
      <x:c r="A16" t="str">
        <x:v>Data outlet scheduled count</x:v>
      </x:c>
      <x:c r="B16" t="n">
        <x:v>42</x:v>
      </x:c>
      <x:c r="C16" t="n">
        <x:f>'Zone Schedule'!M15</x:f>
        <x:v>42</x:v>
      </x:c>
      <x:c r="D16" t="str">
        <x:f>IF(ABS(B16-C16)&lt;0.02,"PASS","REVIEW")</x:f>
        <x:v>PASS</x:v>
      </x:c>
    </x:row>
    <x:row r="17">
      <x:c r="A17" t="str">
        <x:v>Detailed line count</x:v>
      </x:c>
      <x:c r="B17" t="n">
        <x:v>96</x:v>
      </x:c>
      <x:c r="C17" t="n">
        <x:f>COUNTA('Quantity Takeoff'!A6:A101)</x:f>
        <x:v>96</x:v>
      </x:c>
      <x:c r="D17" t="str">
        <x:f>IF(ABS(B17-C17)&lt;0.02,"PASS","REVIEW")</x:f>
        <x:v>PASS</x:v>
      </x:c>
    </x:row>
    <x:row r="18">
      <x:c r="A18" t="str">
        <x:v>Direct total reconciling USD</x:v>
      </x:c>
      <x:c r="B18" t="n">
        <x:v>545567.34</x:v>
      </x:c>
      <x:c r="C18" t="n">
        <x:f>'Trade Summary'!G17</x:f>
        <x:v>545567.344</x:v>
      </x:c>
      <x:c r="D18" t="str">
        <x:f>IF(ABS(B18-C18)&lt;0.02,"PASS","REVIEW")</x:f>
        <x:v>PASS</x:v>
      </x:c>
    </x:row>
    <x:row r="19">
      <x:c r="A19" t="str">
        <x:v>Cost components reconcile USD</x:v>
      </x:c>
      <x:c r="B19" t="n">
        <x:v>545567.34</x:v>
      </x:c>
      <x:c r="C19" t="n">
        <x:f>'Executive Summary'!B12+'Executive Summary'!B13+'Executive Summary'!B14</x:f>
        <x:v>545567.3439999999</x:v>
      </x:c>
      <x:c r="D19" t="str">
        <x:f>IF(ABS(B19-C19)&lt;0.02,"PASS","REVIEW")</x:f>
        <x:v>PASS</x:v>
      </x:c>
    </x:row>
    <x:row r="20">
      <x:c r="A20" t="str">
        <x:v>Footprint per zone schedule</x:v>
      </x:c>
      <x:c r="B20" t="n">
        <x:v>9600</x:v>
      </x:c>
      <x:c r="C20" t="n">
        <x:f>SUM('Zone Schedule'!E6:E14)</x:f>
        <x:v>9600</x:v>
      </x:c>
      <x:c r="D20" t="str">
        <x:f>IF(ABS(B20-C20)&lt;0.02,"PASS","REVIEW")</x:f>
        <x:v>PASS</x:v>
      </x:c>
    </x:row>
    <x:row r="22" ht="45" customHeight="1">
      <x:c r="A22" s="59" t="str">
        <x:v>Quality gate: Users must verify drawn geometry, specification and vendor rates before relying on this model for bids.</x:v>
      </x:c>
      <x:c r="B22" s="59"/>
      <x:c r="C22" s="59"/>
      <x:c r="D22" s="59"/>
      <x:c r="E22" s="59"/>
      <x:c r="F22" s="59"/>
    </x:row>
  </x:sheetData>
  <x:mergeCells>
    <x:mergeCell ref="A1:F2"/>
    <x:mergeCell ref="A3:F3"/>
    <x:mergeCell ref="A22:F22"/>
  </x:mergeCells>
  <x:pageMargins left="0.7" right="0.7" top="0.75" bottom="0.75" header="0.3" footer="0.3"/>
</x:worksheet>
</file>